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da.morton\Desktop\"/>
    </mc:Choice>
  </mc:AlternateContent>
  <xr:revisionPtr revIDLastSave="0" documentId="13_ncr:1_{B6996547-A60F-40F4-92C5-BE70E7F32B9C}" xr6:coauthVersionLast="46" xr6:coauthVersionMax="46" xr10:uidLastSave="{00000000-0000-0000-0000-000000000000}"/>
  <bookViews>
    <workbookView xWindow="-98" yWindow="-98" windowWidth="22695" windowHeight="14595" xr2:uid="{00000000-000D-0000-FFFF-FFFF00000000}"/>
  </bookViews>
  <sheets>
    <sheet name="FY21-22 Budget BOD final" sheetId="52" r:id="rId1"/>
    <sheet name="Sheet1" sheetId="4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02" i="52" l="1"/>
  <c r="G200" i="52"/>
  <c r="G186" i="52"/>
  <c r="G169" i="52"/>
  <c r="G139" i="52"/>
  <c r="G76" i="52"/>
  <c r="G70" i="52"/>
  <c r="G69" i="52"/>
  <c r="G65" i="52"/>
  <c r="F186" i="52"/>
  <c r="G115" i="52"/>
  <c r="G87" i="52"/>
  <c r="G86" i="52"/>
  <c r="G64" i="52"/>
  <c r="G60" i="52"/>
  <c r="G57" i="52"/>
  <c r="E65" i="52"/>
  <c r="D65" i="52"/>
  <c r="F200" i="52" l="1"/>
  <c r="E200" i="52"/>
  <c r="D200" i="52"/>
  <c r="C200" i="52"/>
  <c r="D194" i="52"/>
  <c r="C194" i="52"/>
  <c r="E193" i="52"/>
  <c r="F194" i="52"/>
  <c r="E189" i="52"/>
  <c r="C186" i="52"/>
  <c r="D177" i="52"/>
  <c r="D176" i="52"/>
  <c r="E174" i="52"/>
  <c r="E186" i="52" s="1"/>
  <c r="D169" i="52"/>
  <c r="D166" i="52"/>
  <c r="C139" i="52"/>
  <c r="E136" i="52"/>
  <c r="D134" i="52"/>
  <c r="D132" i="52"/>
  <c r="E129" i="52"/>
  <c r="E127" i="52"/>
  <c r="E116" i="52"/>
  <c r="C114" i="52"/>
  <c r="F110" i="52"/>
  <c r="F116" i="52" s="1"/>
  <c r="C110" i="52"/>
  <c r="D109" i="52"/>
  <c r="D116" i="52" s="1"/>
  <c r="C108" i="52"/>
  <c r="C107" i="52"/>
  <c r="C106" i="52"/>
  <c r="E87" i="52"/>
  <c r="D87" i="52"/>
  <c r="E86" i="52"/>
  <c r="D86" i="52"/>
  <c r="F84" i="52"/>
  <c r="F83" i="52"/>
  <c r="D83" i="52"/>
  <c r="C82" i="52"/>
  <c r="C88" i="52" s="1"/>
  <c r="F81" i="52"/>
  <c r="D81" i="52"/>
  <c r="F80" i="52"/>
  <c r="E76" i="52"/>
  <c r="D76" i="52"/>
  <c r="C75" i="52"/>
  <c r="C76" i="52" s="1"/>
  <c r="F65" i="52"/>
  <c r="C57" i="52"/>
  <c r="C65" i="52" s="1"/>
  <c r="F30" i="52"/>
  <c r="E30" i="52"/>
  <c r="C30" i="52"/>
  <c r="D26" i="52"/>
  <c r="D30" i="52" s="1"/>
  <c r="F23" i="52"/>
  <c r="E23" i="52"/>
  <c r="D23" i="52"/>
  <c r="C23" i="52"/>
  <c r="F16" i="52"/>
  <c r="E16" i="52"/>
  <c r="D16" i="52"/>
  <c r="C16" i="52"/>
  <c r="F10" i="52"/>
  <c r="F136" i="52" s="1"/>
  <c r="E10" i="52"/>
  <c r="E137" i="52" s="1"/>
  <c r="D10" i="52"/>
  <c r="D137" i="52" s="1"/>
  <c r="F137" i="52" l="1"/>
  <c r="F139" i="52" s="1"/>
  <c r="E194" i="52"/>
  <c r="F88" i="52"/>
  <c r="E88" i="52"/>
  <c r="C32" i="52"/>
  <c r="C116" i="52"/>
  <c r="C202" i="52" s="1"/>
  <c r="E139" i="52"/>
  <c r="D88" i="52"/>
  <c r="D186" i="52"/>
  <c r="F69" i="52"/>
  <c r="F76" i="52" s="1"/>
  <c r="D32" i="52"/>
  <c r="D136" i="52"/>
  <c r="D139" i="52" s="1"/>
  <c r="E32" i="52"/>
  <c r="F32" i="52"/>
  <c r="G32" i="52" s="1"/>
  <c r="E202" i="52" l="1"/>
  <c r="E204" i="52" s="1"/>
  <c r="C204" i="52"/>
  <c r="D202" i="52"/>
  <c r="D204" i="52" s="1"/>
  <c r="F202" i="52"/>
  <c r="F204" i="52" s="1"/>
</calcChain>
</file>

<file path=xl/sharedStrings.xml><?xml version="1.0" encoding="utf-8"?>
<sst xmlns="http://schemas.openxmlformats.org/spreadsheetml/2006/main" count="168" uniqueCount="140">
  <si>
    <t>Other Purchased Services</t>
  </si>
  <si>
    <t>Administrative Overhead D-49</t>
  </si>
  <si>
    <t>Life Insurance</t>
  </si>
  <si>
    <t>State Employment Insurance</t>
  </si>
  <si>
    <t>Banking Service Fees</t>
  </si>
  <si>
    <t>Professional-Educational Services</t>
  </si>
  <si>
    <t>Other Professional Services</t>
  </si>
  <si>
    <t>Legal Services</t>
  </si>
  <si>
    <t>Audit Services</t>
  </si>
  <si>
    <t>Consultant Services</t>
  </si>
  <si>
    <t>Student Medical Services</t>
  </si>
  <si>
    <t>Employee Training &amp; Development</t>
  </si>
  <si>
    <t>Water/Sewage</t>
  </si>
  <si>
    <t>Disposal Services</t>
  </si>
  <si>
    <t>Custodial Services</t>
  </si>
  <si>
    <t>Tech Repairs &amp; Maintenance</t>
  </si>
  <si>
    <t>Liability Insurance</t>
  </si>
  <si>
    <t>Vehicle Insurance</t>
  </si>
  <si>
    <t>Workers Compensation Insurance</t>
  </si>
  <si>
    <t>Communications</t>
  </si>
  <si>
    <t>Postage</t>
  </si>
  <si>
    <t>Printing  Binding and Duplicating</t>
  </si>
  <si>
    <t>Tuition/Fees</t>
  </si>
  <si>
    <t>Mileage Reimbursement</t>
  </si>
  <si>
    <t>Office Supplies</t>
  </si>
  <si>
    <t>General Supplies</t>
  </si>
  <si>
    <t>Instructional Supplies</t>
  </si>
  <si>
    <t>Natural Gas</t>
  </si>
  <si>
    <t>Electricity.</t>
  </si>
  <si>
    <t>Motor Vehicle Fuels</t>
  </si>
  <si>
    <t>Books and Periodicals</t>
  </si>
  <si>
    <t>Electronic Media Materials</t>
  </si>
  <si>
    <t>Student Information Systems</t>
  </si>
  <si>
    <t>Curriculum</t>
  </si>
  <si>
    <t>Student Assessments</t>
  </si>
  <si>
    <t>Data Storage</t>
  </si>
  <si>
    <t>Staff Software</t>
  </si>
  <si>
    <t>Vehicles</t>
  </si>
  <si>
    <t>Dues and Fees</t>
  </si>
  <si>
    <t xml:space="preserve">     Total Salaries</t>
  </si>
  <si>
    <t>Medicare Expense</t>
  </si>
  <si>
    <t>PERA Employer Expense</t>
  </si>
  <si>
    <t>Dental Insurance</t>
  </si>
  <si>
    <t>Vision Insurance</t>
  </si>
  <si>
    <t xml:space="preserve">   Total Employee Benefits</t>
  </si>
  <si>
    <t>0300 - PROFESSIONAL SERVICES</t>
  </si>
  <si>
    <t>0200 - EMPLOYEE BENEFITS</t>
  </si>
  <si>
    <t>0100 - SALARIES</t>
  </si>
  <si>
    <t xml:space="preserve">    Total Professional Services</t>
  </si>
  <si>
    <t xml:space="preserve">     Total Purchased Property Services</t>
  </si>
  <si>
    <t>0400 - PURCHASED PROPERTY SERVICES</t>
  </si>
  <si>
    <t>0500 - OTHER PURCHASED SERVICES</t>
  </si>
  <si>
    <t xml:space="preserve">    Total Other Purchased Services</t>
  </si>
  <si>
    <t>0600 - SUPPLIES</t>
  </si>
  <si>
    <t xml:space="preserve">    Total Supplies</t>
  </si>
  <si>
    <t>0700 - PROPERTY</t>
  </si>
  <si>
    <t>Technology Purchases</t>
  </si>
  <si>
    <t xml:space="preserve">     Total Property</t>
  </si>
  <si>
    <t>0800 - OTHER EXPENSE</t>
  </si>
  <si>
    <t xml:space="preserve">     Total Other Expenses</t>
  </si>
  <si>
    <t>Facility Rentals</t>
  </si>
  <si>
    <t>TOTAL EXPENDITURES</t>
  </si>
  <si>
    <t>GOAL ACADEMY</t>
  </si>
  <si>
    <t>Administrative Overhead D-49  SPED</t>
  </si>
  <si>
    <t>REVENUE</t>
  </si>
  <si>
    <t>District D49 - Charter School PPR Allocation</t>
  </si>
  <si>
    <t>Revenue from State Sources</t>
  </si>
  <si>
    <t>IDEA Grant Revenue</t>
  </si>
  <si>
    <t>ECEA Grant Revenue</t>
  </si>
  <si>
    <t>ELPA - Professional Development</t>
  </si>
  <si>
    <t xml:space="preserve">ELPA </t>
  </si>
  <si>
    <t>PPR Allocation</t>
  </si>
  <si>
    <t>Other Revenue</t>
  </si>
  <si>
    <t xml:space="preserve">     Total Revenue from State Sources</t>
  </si>
  <si>
    <t>EXPENDITURES</t>
  </si>
  <si>
    <t>TOTAL REVENUE</t>
  </si>
  <si>
    <t>Grounds Maintenance</t>
  </si>
  <si>
    <t>Repairs and Maintenance Services-Bldgs. &amp; Vehicles</t>
  </si>
  <si>
    <t>Building Rentals</t>
  </si>
  <si>
    <t>Security Services</t>
  </si>
  <si>
    <t>Interest Income</t>
  </si>
  <si>
    <t>Mill Levy Override</t>
  </si>
  <si>
    <t>Equipment Rentals</t>
  </si>
  <si>
    <t>Concurrent Enrollment Supplies</t>
  </si>
  <si>
    <t xml:space="preserve">HR Wellness </t>
  </si>
  <si>
    <t>Student Incentives</t>
  </si>
  <si>
    <t>Adaptive Supplies</t>
  </si>
  <si>
    <t>Donations to others</t>
  </si>
  <si>
    <t>Furniture &amp; Fixtures</t>
  </si>
  <si>
    <t>Equipment</t>
  </si>
  <si>
    <t>Health Insurance Expense</t>
  </si>
  <si>
    <t>GOAL Ventures</t>
  </si>
  <si>
    <t>Penalties &amp; Interest</t>
  </si>
  <si>
    <t>Purchased Professional &amp; Technical Service</t>
  </si>
  <si>
    <t>Graduation Supplies</t>
  </si>
  <si>
    <t>Public Relations Supplies</t>
  </si>
  <si>
    <t>Food Purchases- Student</t>
  </si>
  <si>
    <t>Food Purchases- Staff</t>
  </si>
  <si>
    <t>Food Purchases- BOD</t>
  </si>
  <si>
    <t>Staff Recognition</t>
  </si>
  <si>
    <t>Salaries for Extra Duty Work</t>
  </si>
  <si>
    <t>Revenue from prior years fund balance</t>
  </si>
  <si>
    <t>Student Crisis Expense</t>
  </si>
  <si>
    <t>Salaries-Instructional</t>
  </si>
  <si>
    <t>Salaries-Administrative</t>
  </si>
  <si>
    <t>Salaries-Professional Other</t>
  </si>
  <si>
    <t>Salaries-Paraprofessional</t>
  </si>
  <si>
    <t>Salaries-Office/Administrative Support</t>
  </si>
  <si>
    <t>Salaries-Trades/Services</t>
  </si>
  <si>
    <t>Student  Field Trips and POD actvities</t>
  </si>
  <si>
    <t>Pupil Activities Proms/Events</t>
  </si>
  <si>
    <t xml:space="preserve">Advertising </t>
  </si>
  <si>
    <t>Student Recuitment</t>
  </si>
  <si>
    <t>Actual</t>
  </si>
  <si>
    <t>Revised Budget</t>
  </si>
  <si>
    <t>515/519</t>
  </si>
  <si>
    <t>500/591</t>
  </si>
  <si>
    <t>Travel</t>
  </si>
  <si>
    <t>Bus Passes &amp; Student Transportation Services</t>
  </si>
  <si>
    <t>401K Employer Match Expense</t>
  </si>
  <si>
    <t>Other Revenue from Federal Sources</t>
  </si>
  <si>
    <t xml:space="preserve">    Total Other Revenue from Federal Sources</t>
  </si>
  <si>
    <t>Adopted Budget</t>
  </si>
  <si>
    <t>Other State Agencies</t>
  </si>
  <si>
    <t>General Supplies Digital Media</t>
  </si>
  <si>
    <t>Leasehold Improvements</t>
  </si>
  <si>
    <t>Signage &amp; Branding</t>
  </si>
  <si>
    <t>2020-2021</t>
  </si>
  <si>
    <t>Salaries- Interns</t>
  </si>
  <si>
    <t>Digital Media Services</t>
  </si>
  <si>
    <t>CRF- Coronavirus Refief Fund</t>
  </si>
  <si>
    <t>School Budget</t>
  </si>
  <si>
    <t>June 30, 2020</t>
  </si>
  <si>
    <t xml:space="preserve">      Estimated CDE Audit Adjustment</t>
  </si>
  <si>
    <t>Net Change in Fund Balance</t>
  </si>
  <si>
    <t>2021-2022</t>
  </si>
  <si>
    <t>ESSER II- Elementary &amp; Secondary School Emergency Relief Fund</t>
  </si>
  <si>
    <t xml:space="preserve">COL </t>
  </si>
  <si>
    <t>Miscellaneous Expense/Contingencies</t>
  </si>
  <si>
    <t>salaries &amp; benefits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</si>
</sst>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"/>
  </numFmts>
  <fonts count="12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</font>
    <font>
      <sz val="10"/>
      <name val="Calibri"/>
      <family val="2"/>
    </font>
    <font>
      <b/>
      <sz val="11"/>
      <color rgb="FF0070C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3" fontId="0" fillId="0" borderId="0" xfId="0" applyNumberFormat="1"/>
    <xf numFmtId="44" fontId="0" fillId="0" borderId="0" xfId="1" applyFont="1"/>
    <xf numFmtId="44" fontId="1" fillId="0" borderId="0" xfId="1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37" fontId="1" fillId="0" borderId="0" xfId="1" applyNumberFormat="1" applyFont="1" applyAlignment="1">
      <alignment horizontal="center"/>
    </xf>
    <xf numFmtId="14" fontId="1" fillId="0" borderId="0" xfId="0" applyNumberFormat="1" applyFont="1"/>
    <xf numFmtId="14" fontId="7" fillId="0" borderId="0" xfId="0" applyNumberFormat="1" applyFont="1"/>
    <xf numFmtId="14" fontId="6" fillId="0" borderId="0" xfId="0" applyNumberFormat="1" applyFont="1"/>
    <xf numFmtId="3" fontId="0" fillId="0" borderId="0" xfId="0" applyNumberFormat="1" applyFill="1"/>
    <xf numFmtId="3" fontId="2" fillId="0" borderId="0" xfId="0" applyNumberFormat="1" applyFont="1" applyFill="1" applyAlignment="1">
      <alignment horizontal="center"/>
    </xf>
    <xf numFmtId="3" fontId="2" fillId="0" borderId="0" xfId="0" applyNumberFormat="1" applyFont="1" applyFill="1"/>
    <xf numFmtId="3" fontId="0" fillId="0" borderId="1" xfId="0" applyNumberFormat="1" applyFill="1" applyBorder="1"/>
    <xf numFmtId="3" fontId="1" fillId="0" borderId="0" xfId="0" applyNumberFormat="1" applyFont="1" applyFill="1"/>
    <xf numFmtId="3" fontId="1" fillId="0" borderId="1" xfId="0" applyNumberFormat="1" applyFont="1" applyFill="1" applyBorder="1"/>
    <xf numFmtId="3" fontId="2" fillId="0" borderId="3" xfId="0" applyNumberFormat="1" applyFont="1" applyFill="1" applyBorder="1"/>
    <xf numFmtId="3" fontId="1" fillId="0" borderId="0" xfId="1" applyNumberFormat="1" applyFont="1" applyFill="1"/>
    <xf numFmtId="38" fontId="2" fillId="0" borderId="1" xfId="0" applyNumberFormat="1" applyFont="1" applyFill="1" applyBorder="1"/>
    <xf numFmtId="3" fontId="8" fillId="0" borderId="0" xfId="0" applyNumberFormat="1" applyFont="1"/>
    <xf numFmtId="0" fontId="8" fillId="0" borderId="0" xfId="0" applyFont="1"/>
    <xf numFmtId="3" fontId="6" fillId="0" borderId="0" xfId="0" applyNumberFormat="1" applyFont="1" applyFill="1"/>
    <xf numFmtId="4" fontId="0" fillId="0" borderId="0" xfId="0" applyNumberFormat="1" applyFill="1"/>
    <xf numFmtId="4" fontId="1" fillId="0" borderId="1" xfId="0" applyNumberFormat="1" applyFont="1" applyFill="1" applyBorder="1"/>
    <xf numFmtId="4" fontId="2" fillId="0" borderId="0" xfId="0" applyNumberFormat="1" applyFont="1" applyFill="1"/>
    <xf numFmtId="4" fontId="1" fillId="0" borderId="0" xfId="0" applyNumberFormat="1" applyFont="1" applyFill="1"/>
    <xf numFmtId="4" fontId="0" fillId="0" borderId="1" xfId="0" applyNumberFormat="1" applyFill="1" applyBorder="1"/>
    <xf numFmtId="4" fontId="0" fillId="0" borderId="0" xfId="0" applyNumberFormat="1" applyFill="1" applyBorder="1"/>
    <xf numFmtId="4" fontId="0" fillId="0" borderId="0" xfId="1" applyNumberFormat="1" applyFont="1" applyFill="1"/>
    <xf numFmtId="3" fontId="1" fillId="0" borderId="0" xfId="0" applyNumberFormat="1" applyFont="1" applyFill="1" applyBorder="1"/>
    <xf numFmtId="164" fontId="0" fillId="0" borderId="0" xfId="0" applyNumberFormat="1" applyFill="1"/>
    <xf numFmtId="3" fontId="0" fillId="0" borderId="0" xfId="0" applyNumberFormat="1" applyFill="1" applyBorder="1"/>
    <xf numFmtId="3" fontId="9" fillId="0" borderId="0" xfId="0" applyNumberFormat="1" applyFont="1" applyFill="1"/>
    <xf numFmtId="0" fontId="0" fillId="0" borderId="0" xfId="0" applyFill="1" applyAlignment="1">
      <alignment horizontal="center"/>
    </xf>
    <xf numFmtId="3" fontId="2" fillId="0" borderId="0" xfId="0" applyNumberFormat="1" applyFont="1" applyFill="1" applyBorder="1"/>
    <xf numFmtId="0" fontId="8" fillId="0" borderId="0" xfId="0" applyFont="1" applyAlignment="1">
      <alignment wrapText="1"/>
    </xf>
    <xf numFmtId="3" fontId="8" fillId="0" borderId="0" xfId="0" applyNumberFormat="1" applyFont="1" applyAlignment="1">
      <alignment wrapText="1"/>
    </xf>
    <xf numFmtId="164" fontId="0" fillId="0" borderId="0" xfId="0" applyNumberFormat="1" applyFill="1" applyAlignment="1">
      <alignment horizontal="right"/>
    </xf>
    <xf numFmtId="3" fontId="11" fillId="0" borderId="0" xfId="0" applyNumberFormat="1" applyFont="1" applyFill="1"/>
    <xf numFmtId="3" fontId="11" fillId="0" borderId="1" xfId="0" applyNumberFormat="1" applyFont="1" applyFill="1" applyBorder="1"/>
    <xf numFmtId="4" fontId="2" fillId="0" borderId="3" xfId="0" applyNumberFormat="1" applyFont="1" applyFill="1" applyBorder="1"/>
    <xf numFmtId="39" fontId="0" fillId="0" borderId="1" xfId="0" applyNumberFormat="1" applyFill="1" applyBorder="1"/>
    <xf numFmtId="4" fontId="2" fillId="0" borderId="1" xfId="0" applyNumberFormat="1" applyFont="1" applyFill="1" applyBorder="1"/>
    <xf numFmtId="37" fontId="2" fillId="0" borderId="0" xfId="0" applyNumberFormat="1" applyFont="1" applyFill="1"/>
    <xf numFmtId="14" fontId="2" fillId="2" borderId="0" xfId="0" quotePrefix="1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4" fontId="2" fillId="2" borderId="2" xfId="0" applyNumberFormat="1" applyFont="1" applyFill="1" applyBorder="1" applyAlignment="1">
      <alignment horizontal="center"/>
    </xf>
    <xf numFmtId="3" fontId="2" fillId="2" borderId="2" xfId="0" applyNumberFormat="1" applyFont="1" applyFill="1" applyBorder="1" applyAlignment="1">
      <alignment horizontal="center"/>
    </xf>
    <xf numFmtId="4" fontId="0" fillId="0" borderId="5" xfId="0" applyNumberFormat="1" applyFill="1" applyBorder="1"/>
    <xf numFmtId="4" fontId="0" fillId="0" borderId="6" xfId="0" applyNumberFormat="1" applyFill="1" applyBorder="1"/>
    <xf numFmtId="14" fontId="2" fillId="0" borderId="0" xfId="0" quotePrefix="1" applyNumberFormat="1" applyFont="1" applyFill="1" applyAlignment="1">
      <alignment horizontal="center"/>
    </xf>
    <xf numFmtId="9" fontId="8" fillId="0" borderId="0" xfId="0" applyNumberFormat="1" applyFont="1" applyAlignment="1">
      <alignment horizontal="left"/>
    </xf>
    <xf numFmtId="0" fontId="8" fillId="0" borderId="0" xfId="0" applyFont="1" applyAlignment="1">
      <alignment horizontal="right"/>
    </xf>
    <xf numFmtId="3" fontId="10" fillId="0" borderId="0" xfId="0" applyNumberFormat="1" applyFont="1"/>
    <xf numFmtId="37" fontId="10" fillId="0" borderId="0" xfId="0" applyNumberFormat="1" applyFont="1"/>
    <xf numFmtId="9" fontId="10" fillId="0" borderId="0" xfId="0" applyNumberFormat="1" applyFont="1" applyAlignment="1">
      <alignment horizontal="left"/>
    </xf>
    <xf numFmtId="1" fontId="1" fillId="0" borderId="4" xfId="0" applyNumberFormat="1" applyFont="1" applyFill="1" applyBorder="1"/>
    <xf numFmtId="1" fontId="0" fillId="0" borderId="4" xfId="0" applyNumberFormat="1" applyFill="1" applyBorder="1"/>
    <xf numFmtId="4" fontId="2" fillId="0" borderId="0" xfId="0" applyNumberFormat="1" applyFont="1" applyFill="1" applyBorder="1"/>
    <xf numFmtId="3" fontId="11" fillId="0" borderId="0" xfId="0" applyNumberFormat="1" applyFont="1" applyFill="1" applyBorder="1"/>
    <xf numFmtId="37" fontId="0" fillId="0" borderId="0" xfId="0" applyNumberFormat="1"/>
    <xf numFmtId="37" fontId="8" fillId="0" borderId="0" xfId="0" applyNumberFormat="1" applyFont="1"/>
    <xf numFmtId="37" fontId="1" fillId="0" borderId="0" xfId="0" applyNumberFormat="1" applyFont="1"/>
    <xf numFmtId="37" fontId="8" fillId="0" borderId="0" xfId="0" applyNumberFormat="1" applyFont="1" applyAlignment="1">
      <alignment wrapText="1"/>
    </xf>
    <xf numFmtId="37" fontId="8" fillId="0" borderId="0" xfId="0" applyNumberFormat="1" applyFont="1" applyFill="1"/>
    <xf numFmtId="3" fontId="8" fillId="0" borderId="1" xfId="0" applyNumberFormat="1" applyFont="1" applyBorder="1"/>
    <xf numFmtId="0" fontId="0" fillId="0" borderId="1" xfId="0" applyBorder="1"/>
    <xf numFmtId="3" fontId="8" fillId="0" borderId="1" xfId="0" applyNumberFormat="1" applyFont="1" applyBorder="1" applyAlignment="1">
      <alignment wrapText="1"/>
    </xf>
    <xf numFmtId="37" fontId="8" fillId="0" borderId="1" xfId="0" applyNumberFormat="1" applyFont="1" applyBorder="1"/>
    <xf numFmtId="37" fontId="8" fillId="0" borderId="0" xfId="1" applyNumberFormat="1" applyFont="1"/>
    <xf numFmtId="0" fontId="8" fillId="0" borderId="1" xfId="0" applyFont="1" applyBorder="1"/>
    <xf numFmtId="38" fontId="8" fillId="0" borderId="0" xfId="0" applyNumberFormat="1" applyFont="1"/>
    <xf numFmtId="10" fontId="6" fillId="0" borderId="0" xfId="0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0CFD9-AD6B-47B3-A3ED-EC16F96BBA2F}">
  <sheetPr>
    <pageSetUpPr fitToPage="1"/>
  </sheetPr>
  <dimension ref="A1:K344"/>
  <sheetViews>
    <sheetView tabSelected="1" workbookViewId="0">
      <selection activeCell="F78" sqref="F78"/>
    </sheetView>
  </sheetViews>
  <sheetFormatPr defaultRowHeight="14.25"/>
  <cols>
    <col min="1" max="1" width="51.73046875" bestFit="1" customWidth="1"/>
    <col min="2" max="2" width="10.59765625" style="12" customWidth="1"/>
    <col min="3" max="3" width="15.59765625" style="29" customWidth="1"/>
    <col min="4" max="6" width="15.59765625" style="17" customWidth="1"/>
    <col min="7" max="7" width="12.6640625" bestFit="1" customWidth="1"/>
  </cols>
  <sheetData>
    <row r="1" spans="1:7" ht="18" customHeight="1">
      <c r="A1" s="3" t="s">
        <v>62</v>
      </c>
      <c r="B1" s="10"/>
    </row>
    <row r="2" spans="1:7" ht="15.95" customHeight="1">
      <c r="A2" s="3" t="s">
        <v>131</v>
      </c>
      <c r="B2" s="10"/>
    </row>
    <row r="3" spans="1:7" ht="15.95" customHeight="1">
      <c r="A3" s="3" t="s">
        <v>135</v>
      </c>
      <c r="B3" s="10"/>
    </row>
    <row r="4" spans="1:7" ht="15.95" customHeight="1">
      <c r="A4" s="15"/>
      <c r="B4" s="10"/>
      <c r="C4" s="51" t="s">
        <v>132</v>
      </c>
      <c r="D4" s="52" t="s">
        <v>127</v>
      </c>
      <c r="E4" s="52" t="s">
        <v>127</v>
      </c>
      <c r="F4" s="52" t="s">
        <v>135</v>
      </c>
    </row>
    <row r="5" spans="1:7" ht="14.2" customHeight="1" thickBot="1">
      <c r="A5" s="16"/>
      <c r="B5" s="10"/>
      <c r="C5" s="53" t="s">
        <v>113</v>
      </c>
      <c r="D5" s="54" t="s">
        <v>122</v>
      </c>
      <c r="E5" s="54" t="s">
        <v>114</v>
      </c>
      <c r="F5" s="54" t="s">
        <v>131</v>
      </c>
    </row>
    <row r="6" spans="1:7" ht="14.2" customHeight="1">
      <c r="A6" s="4" t="s">
        <v>64</v>
      </c>
      <c r="B6" s="9"/>
      <c r="D6" s="44"/>
      <c r="E6" s="44"/>
      <c r="F6" s="44"/>
    </row>
    <row r="7" spans="1:7" ht="14.2" customHeight="1">
      <c r="A7" s="3"/>
      <c r="B7" s="10"/>
      <c r="C7" s="17"/>
      <c r="D7" s="37">
        <v>7505</v>
      </c>
      <c r="E7" s="37">
        <v>7721</v>
      </c>
      <c r="F7" s="37">
        <v>8235</v>
      </c>
    </row>
    <row r="8" spans="1:7" ht="14.2" customHeight="1">
      <c r="A8" s="3"/>
      <c r="B8" s="10"/>
      <c r="C8" s="17"/>
      <c r="D8" s="17">
        <v>5670</v>
      </c>
      <c r="E8" s="17">
        <v>5305</v>
      </c>
      <c r="F8" s="17">
        <v>5550</v>
      </c>
    </row>
    <row r="9" spans="1:7" ht="14.2" customHeight="1">
      <c r="A9" s="2" t="s">
        <v>71</v>
      </c>
      <c r="B9" s="5"/>
    </row>
    <row r="10" spans="1:7" ht="14.2" customHeight="1">
      <c r="A10" s="1" t="s">
        <v>65</v>
      </c>
      <c r="B10" s="11"/>
      <c r="C10" s="31">
        <v>40164462</v>
      </c>
      <c r="D10" s="19">
        <f>7505*5670</f>
        <v>42553350</v>
      </c>
      <c r="E10" s="19">
        <f>E7*E8</f>
        <v>40959905</v>
      </c>
      <c r="F10" s="19">
        <f>F7*5550</f>
        <v>45704250</v>
      </c>
      <c r="G10" s="60"/>
    </row>
    <row r="11" spans="1:7" ht="14.2" customHeight="1">
      <c r="A11" s="1" t="s">
        <v>133</v>
      </c>
      <c r="B11" s="11"/>
      <c r="D11" s="39"/>
      <c r="E11" s="50">
        <v>-300000</v>
      </c>
      <c r="F11" s="50">
        <v>-300000</v>
      </c>
    </row>
    <row r="12" spans="1:7" ht="14.2" customHeight="1">
      <c r="A12" s="2" t="s">
        <v>66</v>
      </c>
      <c r="B12" s="5"/>
    </row>
    <row r="13" spans="1:7" ht="14.2" customHeight="1">
      <c r="A13" s="1" t="s">
        <v>68</v>
      </c>
      <c r="B13" s="11">
        <v>3130</v>
      </c>
      <c r="C13" s="29">
        <v>487500</v>
      </c>
      <c r="D13" s="17">
        <v>487500</v>
      </c>
      <c r="E13" s="17">
        <v>487500</v>
      </c>
      <c r="F13" s="17">
        <v>585000</v>
      </c>
    </row>
    <row r="14" spans="1:7" ht="14.2" customHeight="1">
      <c r="A14" s="1" t="s">
        <v>69</v>
      </c>
      <c r="B14" s="11">
        <v>3139</v>
      </c>
      <c r="C14" s="29">
        <v>37062</v>
      </c>
      <c r="D14" s="17">
        <v>37062</v>
      </c>
      <c r="E14" s="17">
        <v>69735</v>
      </c>
      <c r="F14" s="17">
        <v>69735</v>
      </c>
    </row>
    <row r="15" spans="1:7" ht="14.2" customHeight="1">
      <c r="A15" s="1" t="s">
        <v>70</v>
      </c>
      <c r="B15" s="11">
        <v>3140</v>
      </c>
      <c r="C15" s="33">
        <v>80834</v>
      </c>
      <c r="D15" s="20">
        <v>80834</v>
      </c>
      <c r="E15" s="20">
        <v>61047</v>
      </c>
      <c r="F15" s="20">
        <v>61047</v>
      </c>
    </row>
    <row r="16" spans="1:7" ht="14.2" customHeight="1">
      <c r="A16" s="2" t="s">
        <v>73</v>
      </c>
      <c r="B16" s="5"/>
      <c r="C16" s="31">
        <f>SUM(C13:C15)</f>
        <v>605396</v>
      </c>
      <c r="D16" s="19">
        <f>SUM(D13:D15)</f>
        <v>605396</v>
      </c>
      <c r="E16" s="19">
        <f>SUM(E13:E15)</f>
        <v>618282</v>
      </c>
      <c r="F16" s="19">
        <f>SUM(F13:F15)</f>
        <v>715782</v>
      </c>
    </row>
    <row r="17" spans="1:7" ht="14.2" customHeight="1">
      <c r="A17" s="2"/>
      <c r="B17" s="5"/>
      <c r="G17" s="67"/>
    </row>
    <row r="18" spans="1:7" ht="14.2" customHeight="1">
      <c r="A18" s="2" t="s">
        <v>120</v>
      </c>
      <c r="B18" s="5"/>
      <c r="G18" s="67"/>
    </row>
    <row r="19" spans="1:7" ht="14.2" customHeight="1">
      <c r="A19" s="1" t="s">
        <v>123</v>
      </c>
      <c r="B19" s="11"/>
      <c r="C19" s="29">
        <v>4387.8599999999997</v>
      </c>
      <c r="D19" s="17">
        <v>0</v>
      </c>
      <c r="E19" s="17">
        <v>0</v>
      </c>
      <c r="F19" s="21">
        <v>0</v>
      </c>
      <c r="G19" s="67"/>
    </row>
    <row r="20" spans="1:7" ht="14.2" customHeight="1">
      <c r="A20" s="1" t="s">
        <v>67</v>
      </c>
      <c r="B20" s="11">
        <v>4027</v>
      </c>
      <c r="C20" s="34">
        <v>487500</v>
      </c>
      <c r="D20" s="38">
        <v>487500</v>
      </c>
      <c r="E20" s="38">
        <v>487500</v>
      </c>
      <c r="F20" s="38">
        <v>585000</v>
      </c>
      <c r="G20" s="67"/>
    </row>
    <row r="21" spans="1:7" ht="14.2" customHeight="1">
      <c r="A21" s="1" t="s">
        <v>136</v>
      </c>
      <c r="B21" s="11">
        <v>4425</v>
      </c>
      <c r="C21" s="34">
        <v>0</v>
      </c>
      <c r="D21" s="38">
        <v>246834.63</v>
      </c>
      <c r="E21" s="38">
        <v>246834.63</v>
      </c>
      <c r="F21" s="66">
        <v>600000</v>
      </c>
      <c r="G21" s="68">
        <v>-400000</v>
      </c>
    </row>
    <row r="22" spans="1:7" ht="14.2" customHeight="1">
      <c r="A22" s="1" t="s">
        <v>130</v>
      </c>
      <c r="B22" s="11">
        <v>4012</v>
      </c>
      <c r="C22" s="33">
        <v>883499.95</v>
      </c>
      <c r="D22" s="20">
        <v>2353884.4500000002</v>
      </c>
      <c r="E22" s="22">
        <v>900000</v>
      </c>
      <c r="F22" s="22">
        <v>0</v>
      </c>
      <c r="G22" s="69"/>
    </row>
    <row r="23" spans="1:7" ht="14.2" customHeight="1">
      <c r="A23" s="2" t="s">
        <v>121</v>
      </c>
      <c r="B23" s="5"/>
      <c r="C23" s="31">
        <f>SUM(C19:C22)</f>
        <v>1375387.81</v>
      </c>
      <c r="D23" s="19">
        <f>SUM(D19:D22)</f>
        <v>3088219.08</v>
      </c>
      <c r="E23" s="19">
        <f>SUM(E19:E22)</f>
        <v>1634334.63</v>
      </c>
      <c r="F23" s="19">
        <f>SUM(F19:F22)</f>
        <v>1185000</v>
      </c>
      <c r="G23" s="67"/>
    </row>
    <row r="24" spans="1:7" ht="14.2" customHeight="1">
      <c r="A24" s="1"/>
      <c r="B24" s="11"/>
      <c r="G24" s="67"/>
    </row>
    <row r="25" spans="1:7" ht="14.2" customHeight="1">
      <c r="A25" s="2" t="s">
        <v>72</v>
      </c>
      <c r="B25" s="5"/>
      <c r="G25" s="67"/>
    </row>
    <row r="26" spans="1:7" ht="14.2" customHeight="1">
      <c r="A26" s="1" t="s">
        <v>80</v>
      </c>
      <c r="B26" s="11"/>
      <c r="C26" s="32">
        <v>183240.48</v>
      </c>
      <c r="D26" s="21">
        <f>14500000*0.0025</f>
        <v>36250</v>
      </c>
      <c r="E26" s="21">
        <v>12000</v>
      </c>
      <c r="F26" s="21">
        <v>8000</v>
      </c>
      <c r="G26" s="69"/>
    </row>
    <row r="27" spans="1:7" ht="14.2" customHeight="1">
      <c r="A27" s="1" t="s">
        <v>81</v>
      </c>
      <c r="B27" s="11"/>
      <c r="C27" s="29">
        <v>222333</v>
      </c>
      <c r="D27" s="21">
        <v>0</v>
      </c>
      <c r="E27" s="21">
        <v>219902</v>
      </c>
      <c r="F27" s="45">
        <v>200000</v>
      </c>
      <c r="G27" s="71">
        <v>200000</v>
      </c>
    </row>
    <row r="28" spans="1:7" ht="14.2" customHeight="1">
      <c r="A28" s="1" t="s">
        <v>72</v>
      </c>
      <c r="B28" s="11"/>
      <c r="C28" s="29">
        <v>120489.96</v>
      </c>
      <c r="D28" s="17">
        <v>25000</v>
      </c>
      <c r="E28" s="21">
        <v>75000</v>
      </c>
      <c r="F28" s="21">
        <v>75000</v>
      </c>
      <c r="G28" s="67"/>
    </row>
    <row r="29" spans="1:7" ht="25.05" customHeight="1">
      <c r="A29" s="1" t="s">
        <v>101</v>
      </c>
      <c r="B29" s="11"/>
      <c r="C29" s="30">
        <v>0</v>
      </c>
      <c r="D29" s="22">
        <v>0</v>
      </c>
      <c r="E29" s="22">
        <v>1300000</v>
      </c>
      <c r="F29" s="46">
        <v>800000</v>
      </c>
      <c r="G29" s="70">
        <v>375000</v>
      </c>
    </row>
    <row r="30" spans="1:7" ht="14.2" customHeight="1">
      <c r="A30" s="1"/>
      <c r="B30" s="11"/>
      <c r="C30" s="31">
        <f>SUM(C26:C29)</f>
        <v>526063.43999999994</v>
      </c>
      <c r="D30" s="19">
        <f>SUM(D26:D29)</f>
        <v>61250</v>
      </c>
      <c r="E30" s="19">
        <f>SUM(E26:E29)</f>
        <v>1606902</v>
      </c>
      <c r="F30" s="19">
        <f>SUM(F26:F29)</f>
        <v>1083000</v>
      </c>
      <c r="G30" s="67"/>
    </row>
    <row r="31" spans="1:7" ht="14.2" customHeight="1">
      <c r="A31" s="1"/>
      <c r="B31" s="11"/>
      <c r="C31" s="33"/>
      <c r="D31" s="20"/>
      <c r="E31" s="20"/>
      <c r="F31" s="20"/>
      <c r="G31" s="67"/>
    </row>
    <row r="32" spans="1:7" ht="14.2" customHeight="1" thickBot="1">
      <c r="A32" s="2" t="s">
        <v>75</v>
      </c>
      <c r="B32" s="5"/>
      <c r="C32" s="47">
        <f>C10+C16+C23+C30</f>
        <v>42671309.25</v>
      </c>
      <c r="D32" s="23">
        <f>D10+D16+D23+D30</f>
        <v>46308215.079999998</v>
      </c>
      <c r="E32" s="23">
        <f>E10+E16+E23+E30+E11</f>
        <v>44519423.630000003</v>
      </c>
      <c r="F32" s="23">
        <f>F10+F16+F23+F30+F11</f>
        <v>48388032</v>
      </c>
      <c r="G32" s="68">
        <f>F32-48213032</f>
        <v>175000</v>
      </c>
    </row>
    <row r="33" spans="1:7" ht="14.2" customHeight="1" thickTop="1">
      <c r="A33" s="2"/>
      <c r="B33" s="5"/>
      <c r="C33" s="65"/>
      <c r="D33" s="41"/>
      <c r="E33" s="41"/>
      <c r="F33" s="41"/>
      <c r="G33" s="61"/>
    </row>
    <row r="34" spans="1:7" ht="14.2" customHeight="1">
      <c r="A34" s="2"/>
      <c r="B34" s="5"/>
      <c r="C34" s="65"/>
      <c r="D34" s="41"/>
      <c r="E34" s="41"/>
      <c r="F34" s="41"/>
      <c r="G34" s="61"/>
    </row>
    <row r="35" spans="1:7" ht="14.2" customHeight="1">
      <c r="A35" s="2"/>
      <c r="B35" s="5"/>
      <c r="C35" s="65"/>
      <c r="D35" s="41"/>
      <c r="E35" s="41"/>
      <c r="F35" s="41"/>
      <c r="G35" s="61"/>
    </row>
    <row r="36" spans="1:7" ht="14.2" customHeight="1">
      <c r="A36" s="2"/>
      <c r="B36" s="5"/>
      <c r="C36" s="65"/>
      <c r="D36" s="41"/>
      <c r="E36" s="41"/>
      <c r="F36" s="41"/>
      <c r="G36" s="61"/>
    </row>
    <row r="37" spans="1:7" ht="14.2" customHeight="1">
      <c r="A37" s="2"/>
      <c r="B37" s="5"/>
      <c r="C37" s="65"/>
      <c r="D37" s="41"/>
      <c r="E37" s="41"/>
      <c r="F37" s="41"/>
      <c r="G37" s="60"/>
    </row>
    <row r="38" spans="1:7" ht="14.2" customHeight="1">
      <c r="A38" s="2"/>
      <c r="B38" s="5"/>
      <c r="C38" s="65"/>
      <c r="D38" s="41"/>
      <c r="E38" s="41"/>
      <c r="F38" s="41"/>
      <c r="G38" s="60"/>
    </row>
    <row r="39" spans="1:7" ht="14.2" customHeight="1">
      <c r="A39" s="2"/>
      <c r="B39" s="5"/>
      <c r="C39" s="65"/>
      <c r="D39" s="41"/>
      <c r="E39" s="41"/>
      <c r="F39" s="41"/>
      <c r="G39" s="60"/>
    </row>
    <row r="40" spans="1:7" ht="14.2" customHeight="1">
      <c r="A40" s="2"/>
      <c r="B40" s="5"/>
      <c r="C40" s="65"/>
      <c r="D40" s="41"/>
      <c r="E40" s="41"/>
      <c r="F40" s="41"/>
      <c r="G40" s="60"/>
    </row>
    <row r="41" spans="1:7" ht="14.2" customHeight="1">
      <c r="A41" s="2"/>
      <c r="B41" s="5"/>
      <c r="C41" s="65"/>
      <c r="D41" s="41"/>
      <c r="E41" s="41"/>
      <c r="F41" s="41"/>
      <c r="G41" s="60"/>
    </row>
    <row r="42" spans="1:7" ht="14.2" customHeight="1">
      <c r="A42" s="2"/>
      <c r="B42" s="5"/>
      <c r="C42" s="65"/>
      <c r="D42" s="41"/>
      <c r="E42" s="41"/>
      <c r="F42" s="41"/>
      <c r="G42" s="60"/>
    </row>
    <row r="43" spans="1:7" ht="14.2" customHeight="1">
      <c r="A43" s="2"/>
      <c r="B43" s="5"/>
      <c r="C43" s="65"/>
      <c r="D43" s="41"/>
      <c r="E43" s="41"/>
      <c r="F43" s="41"/>
      <c r="G43" s="60"/>
    </row>
    <row r="44" spans="1:7" ht="14.2" customHeight="1">
      <c r="A44" s="2"/>
      <c r="B44" s="5"/>
      <c r="C44" s="65"/>
      <c r="D44" s="41"/>
      <c r="E44" s="41"/>
      <c r="F44" s="41"/>
      <c r="G44" s="60"/>
    </row>
    <row r="45" spans="1:7" ht="14.2" customHeight="1">
      <c r="A45" s="2"/>
      <c r="B45" s="5"/>
      <c r="C45" s="65"/>
      <c r="D45" s="41"/>
      <c r="E45" s="41"/>
      <c r="F45" s="41"/>
      <c r="G45" s="60"/>
    </row>
    <row r="46" spans="1:7" ht="14.2" customHeight="1">
      <c r="A46" s="2"/>
      <c r="B46" s="5"/>
      <c r="C46" s="65"/>
      <c r="D46" s="41"/>
      <c r="E46" s="41"/>
      <c r="F46" s="41"/>
      <c r="G46" s="60"/>
    </row>
    <row r="47" spans="1:7" ht="14.2" customHeight="1">
      <c r="A47" s="2"/>
      <c r="B47" s="5"/>
      <c r="C47" s="65"/>
      <c r="D47" s="41"/>
      <c r="E47" s="41"/>
      <c r="F47" s="41"/>
      <c r="G47" s="60"/>
    </row>
    <row r="48" spans="1:7" ht="14.2" customHeight="1">
      <c r="A48" s="2"/>
      <c r="B48" s="5"/>
      <c r="C48" s="65"/>
      <c r="D48" s="41"/>
      <c r="E48" s="41"/>
      <c r="F48" s="41"/>
      <c r="G48" s="60"/>
    </row>
    <row r="49" spans="1:7" ht="14.2" customHeight="1">
      <c r="A49" s="2"/>
      <c r="B49" s="5"/>
      <c r="C49" s="65"/>
      <c r="D49" s="41"/>
      <c r="E49" s="41"/>
      <c r="F49" s="41"/>
      <c r="G49" s="60"/>
    </row>
    <row r="50" spans="1:7" ht="14.2" customHeight="1">
      <c r="A50" s="2"/>
      <c r="B50" s="5"/>
      <c r="C50" s="65"/>
      <c r="D50" s="41"/>
      <c r="E50" s="41"/>
      <c r="F50" s="41"/>
      <c r="G50" s="60"/>
    </row>
    <row r="51" spans="1:7" ht="14.2" customHeight="1">
      <c r="A51" s="2"/>
      <c r="B51" s="5"/>
      <c r="C51" s="65"/>
      <c r="D51" s="41"/>
      <c r="E51" s="41"/>
      <c r="F51" s="41"/>
      <c r="G51" s="60"/>
    </row>
    <row r="52" spans="1:7" ht="14.2" customHeight="1">
      <c r="A52" s="2"/>
      <c r="B52" s="5"/>
      <c r="C52" s="51" t="s">
        <v>132</v>
      </c>
      <c r="D52" s="52" t="s">
        <v>127</v>
      </c>
      <c r="E52" s="52" t="s">
        <v>127</v>
      </c>
      <c r="F52" s="52" t="s">
        <v>135</v>
      </c>
      <c r="G52" s="60"/>
    </row>
    <row r="53" spans="1:7" ht="14.2" customHeight="1" thickBot="1">
      <c r="A53" s="2"/>
      <c r="B53" s="5"/>
      <c r="C53" s="53" t="s">
        <v>113</v>
      </c>
      <c r="D53" s="54" t="s">
        <v>122</v>
      </c>
      <c r="E53" s="54" t="s">
        <v>114</v>
      </c>
      <c r="F53" s="54" t="s">
        <v>131</v>
      </c>
    </row>
    <row r="54" spans="1:7" ht="14.2" customHeight="1">
      <c r="A54" s="4" t="s">
        <v>74</v>
      </c>
      <c r="B54" s="9"/>
    </row>
    <row r="55" spans="1:7" ht="14.2" customHeight="1">
      <c r="A55" s="2" t="s">
        <v>47</v>
      </c>
      <c r="B55" s="5"/>
      <c r="G55" s="59"/>
    </row>
    <row r="56" spans="1:7" ht="15" customHeight="1">
      <c r="A56" t="s">
        <v>104</v>
      </c>
      <c r="B56" s="12">
        <v>100</v>
      </c>
      <c r="C56" s="32">
        <v>3594372</v>
      </c>
      <c r="D56" s="17">
        <v>3944730</v>
      </c>
      <c r="E56" s="17">
        <v>3292480</v>
      </c>
      <c r="F56" s="17">
        <v>3225355</v>
      </c>
      <c r="G56" s="59"/>
    </row>
    <row r="57" spans="1:7" ht="15" customHeight="1">
      <c r="A57" s="1" t="s">
        <v>103</v>
      </c>
      <c r="B57" s="11">
        <v>200</v>
      </c>
      <c r="C57" s="29">
        <f>6560244.9</f>
        <v>6560244.9000000004</v>
      </c>
      <c r="D57" s="17">
        <v>9184230</v>
      </c>
      <c r="E57" s="17">
        <v>8609370</v>
      </c>
      <c r="F57" s="17">
        <v>9425320</v>
      </c>
      <c r="G57" s="26">
        <f>F57-9261820</f>
        <v>163500</v>
      </c>
    </row>
    <row r="58" spans="1:7" ht="15" customHeight="1">
      <c r="A58" s="1" t="s">
        <v>105</v>
      </c>
      <c r="B58" s="11">
        <v>300</v>
      </c>
      <c r="C58" s="29">
        <v>2538282.44</v>
      </c>
      <c r="D58" s="17">
        <v>2691500</v>
      </c>
      <c r="E58" s="17">
        <v>2277250</v>
      </c>
      <c r="F58" s="17">
        <v>2550000</v>
      </c>
      <c r="G58" s="68">
        <v>-10000</v>
      </c>
    </row>
    <row r="59" spans="1:7" ht="15" customHeight="1">
      <c r="A59" s="1" t="s">
        <v>106</v>
      </c>
      <c r="B59" s="11">
        <v>400</v>
      </c>
      <c r="C59" s="29">
        <v>5856128.4900000002</v>
      </c>
      <c r="D59" s="17">
        <v>7207226</v>
      </c>
      <c r="E59" s="17">
        <v>7308127</v>
      </c>
      <c r="F59" s="17">
        <v>7571130</v>
      </c>
      <c r="G59" s="27"/>
    </row>
    <row r="60" spans="1:7" ht="15" customHeight="1">
      <c r="A60" s="1" t="s">
        <v>107</v>
      </c>
      <c r="B60" s="11">
        <v>500</v>
      </c>
      <c r="C60" s="29">
        <v>1805829.96</v>
      </c>
      <c r="D60" s="17">
        <v>2019338</v>
      </c>
      <c r="E60" s="17">
        <v>1942248</v>
      </c>
      <c r="F60" s="17">
        <v>2020748</v>
      </c>
      <c r="G60" s="26">
        <f>F60-2018748</f>
        <v>2000</v>
      </c>
    </row>
    <row r="61" spans="1:7" ht="15" customHeight="1">
      <c r="A61" s="1" t="s">
        <v>108</v>
      </c>
      <c r="B61" s="11">
        <v>600</v>
      </c>
      <c r="C61" s="29">
        <v>103843.31</v>
      </c>
      <c r="D61" s="17">
        <v>82500</v>
      </c>
      <c r="E61" s="17">
        <v>36750</v>
      </c>
      <c r="F61" s="17">
        <v>38750</v>
      </c>
      <c r="G61" s="26"/>
    </row>
    <row r="62" spans="1:7" ht="15" customHeight="1">
      <c r="A62" s="1" t="s">
        <v>128</v>
      </c>
      <c r="B62" s="11"/>
      <c r="D62" s="17">
        <v>72000</v>
      </c>
      <c r="E62" s="17">
        <v>72000</v>
      </c>
      <c r="F62" s="17">
        <v>72000</v>
      </c>
      <c r="G62" s="26"/>
    </row>
    <row r="63" spans="1:7" ht="15" customHeight="1">
      <c r="A63" s="1" t="s">
        <v>100</v>
      </c>
      <c r="B63" s="11"/>
      <c r="C63" s="34">
        <v>531405.42000000004</v>
      </c>
      <c r="D63" s="36">
        <v>248000</v>
      </c>
      <c r="E63" s="36">
        <v>248000</v>
      </c>
      <c r="F63" s="36">
        <v>222000</v>
      </c>
      <c r="G63" s="26">
        <v>7000</v>
      </c>
    </row>
    <row r="64" spans="1:7" ht="15" customHeight="1">
      <c r="A64" s="1" t="s">
        <v>137</v>
      </c>
      <c r="B64" s="11"/>
      <c r="C64" s="33">
        <v>0</v>
      </c>
      <c r="D64" s="22">
        <v>0</v>
      </c>
      <c r="E64" s="22">
        <v>0</v>
      </c>
      <c r="F64" s="22">
        <v>747099</v>
      </c>
      <c r="G64" s="72">
        <f>F64-731844</f>
        <v>15255</v>
      </c>
    </row>
    <row r="65" spans="1:7" ht="14.2" customHeight="1">
      <c r="A65" s="2" t="s">
        <v>39</v>
      </c>
      <c r="B65" s="5"/>
      <c r="C65" s="31">
        <f>SUM(C56:C64)</f>
        <v>20990106.52</v>
      </c>
      <c r="D65" s="19">
        <f>SUM(D56:D64)</f>
        <v>25449524</v>
      </c>
      <c r="E65" s="19">
        <f>SUM(E56:E64)</f>
        <v>23786225</v>
      </c>
      <c r="F65" s="19">
        <f>SUM(F56:F64)</f>
        <v>25872402</v>
      </c>
      <c r="G65" s="26">
        <f>SUM(G56:G64)</f>
        <v>177755</v>
      </c>
    </row>
    <row r="66" spans="1:7" ht="14.2" customHeight="1">
      <c r="A66" s="2"/>
      <c r="B66" s="5"/>
      <c r="C66" s="31"/>
      <c r="D66" s="19"/>
      <c r="E66" s="19"/>
      <c r="F66" s="19"/>
      <c r="G66" s="62"/>
    </row>
    <row r="67" spans="1:7" ht="14.2" customHeight="1">
      <c r="A67" s="2" t="s">
        <v>46</v>
      </c>
      <c r="B67" s="5"/>
    </row>
    <row r="68" spans="1:7" ht="14.2" customHeight="1">
      <c r="A68" t="s">
        <v>2</v>
      </c>
      <c r="C68" s="29">
        <v>105543.36</v>
      </c>
      <c r="D68" s="21">
        <v>131000</v>
      </c>
      <c r="E68" s="21">
        <v>128000</v>
      </c>
      <c r="F68" s="21">
        <v>130000</v>
      </c>
    </row>
    <row r="69" spans="1:7" ht="14.2" customHeight="1">
      <c r="A69" t="s">
        <v>3</v>
      </c>
      <c r="C69" s="29">
        <v>60240</v>
      </c>
      <c r="D69" s="17">
        <v>76349</v>
      </c>
      <c r="E69" s="17">
        <v>68000</v>
      </c>
      <c r="F69" s="45">
        <f>F65*0.003</f>
        <v>77617.206000000006</v>
      </c>
      <c r="G69" s="68">
        <f>F69-77084</f>
        <v>533.20600000000559</v>
      </c>
    </row>
    <row r="70" spans="1:7" ht="14.2" customHeight="1">
      <c r="A70" t="s">
        <v>40</v>
      </c>
      <c r="C70" s="29">
        <v>291998.90999999997</v>
      </c>
      <c r="D70" s="17">
        <v>358150</v>
      </c>
      <c r="E70" s="17">
        <v>328000</v>
      </c>
      <c r="F70" s="45">
        <v>375150</v>
      </c>
      <c r="G70" s="68">
        <f>F70-372572</f>
        <v>2578</v>
      </c>
    </row>
    <row r="71" spans="1:7" ht="14.2" customHeight="1">
      <c r="A71" t="s">
        <v>41</v>
      </c>
      <c r="C71" s="29">
        <v>4052500.79</v>
      </c>
      <c r="D71" s="17">
        <v>5074000</v>
      </c>
      <c r="E71" s="17">
        <v>4732000</v>
      </c>
      <c r="F71" s="17">
        <v>4800000</v>
      </c>
      <c r="G71" s="68"/>
    </row>
    <row r="72" spans="1:7" ht="14.2" customHeight="1">
      <c r="A72" s="1" t="s">
        <v>119</v>
      </c>
      <c r="C72" s="29">
        <v>272788.33</v>
      </c>
      <c r="D72" s="17">
        <v>290000</v>
      </c>
      <c r="E72" s="17">
        <v>300000</v>
      </c>
      <c r="F72" s="45">
        <v>320000</v>
      </c>
      <c r="G72" s="68">
        <v>10000</v>
      </c>
    </row>
    <row r="73" spans="1:7" ht="14.2" customHeight="1">
      <c r="A73" t="s">
        <v>42</v>
      </c>
      <c r="C73" s="32">
        <v>48302.32</v>
      </c>
      <c r="D73" s="21">
        <v>59000</v>
      </c>
      <c r="E73" s="21">
        <v>67000</v>
      </c>
      <c r="F73" s="21">
        <v>70000</v>
      </c>
      <c r="G73" s="68"/>
    </row>
    <row r="74" spans="1:7" ht="14.2" customHeight="1">
      <c r="A74" t="s">
        <v>43</v>
      </c>
      <c r="C74" s="29">
        <v>29083.55</v>
      </c>
      <c r="D74" s="21">
        <v>36000</v>
      </c>
      <c r="E74" s="21">
        <v>35000</v>
      </c>
      <c r="F74" s="21">
        <v>38000</v>
      </c>
      <c r="G74" s="68"/>
    </row>
    <row r="75" spans="1:7" ht="15" customHeight="1">
      <c r="A75" t="s">
        <v>90</v>
      </c>
      <c r="C75" s="33">
        <f>908619.67+3423</f>
        <v>912042.67</v>
      </c>
      <c r="D75" s="20">
        <v>1000000</v>
      </c>
      <c r="E75" s="20">
        <v>1000000</v>
      </c>
      <c r="F75" s="22">
        <v>1100000</v>
      </c>
      <c r="G75" s="73"/>
    </row>
    <row r="76" spans="1:7" ht="14.2" customHeight="1">
      <c r="A76" s="2" t="s">
        <v>44</v>
      </c>
      <c r="B76" s="5"/>
      <c r="C76" s="31">
        <f>SUM(C68:C75)</f>
        <v>5772499.9299999997</v>
      </c>
      <c r="D76" s="19">
        <f>SUM(D68:D75)</f>
        <v>7024499</v>
      </c>
      <c r="E76" s="19">
        <f>SUM(E68:E75)</f>
        <v>6658000</v>
      </c>
      <c r="F76" s="19">
        <f>SUM(F68:F75)</f>
        <v>6910767.2060000002</v>
      </c>
      <c r="G76" s="26">
        <f>SUM(G68:G75)</f>
        <v>13111.206000000006</v>
      </c>
    </row>
    <row r="77" spans="1:7" ht="14.2" customHeight="1">
      <c r="A77" s="2"/>
      <c r="B77" s="5"/>
      <c r="C77" s="31"/>
      <c r="D77" s="28"/>
      <c r="E77" s="28"/>
      <c r="F77" s="79">
        <v>0.67749999999999999</v>
      </c>
      <c r="G77" s="58" t="s">
        <v>139</v>
      </c>
    </row>
    <row r="78" spans="1:7" ht="14.2" customHeight="1">
      <c r="A78" s="2" t="s">
        <v>45</v>
      </c>
      <c r="B78" s="5"/>
    </row>
    <row r="79" spans="1:7" ht="15" customHeight="1">
      <c r="A79" t="s">
        <v>4</v>
      </c>
      <c r="B79" s="12">
        <v>313</v>
      </c>
      <c r="C79" s="29">
        <v>7328.16</v>
      </c>
      <c r="D79" s="21">
        <v>6000</v>
      </c>
      <c r="E79" s="21">
        <v>12000</v>
      </c>
      <c r="F79" s="21">
        <v>13000</v>
      </c>
      <c r="G79" s="27"/>
    </row>
    <row r="80" spans="1:7" ht="15" customHeight="1">
      <c r="A80" t="s">
        <v>5</v>
      </c>
      <c r="B80" s="12">
        <v>320</v>
      </c>
      <c r="C80" s="29">
        <v>8358.48</v>
      </c>
      <c r="D80" s="21">
        <v>325000</v>
      </c>
      <c r="E80" s="21">
        <v>25000</v>
      </c>
      <c r="F80" s="21">
        <f>7500+12500</f>
        <v>20000</v>
      </c>
      <c r="G80" s="27"/>
    </row>
    <row r="81" spans="1:7" ht="15" customHeight="1">
      <c r="A81" s="1" t="s">
        <v>93</v>
      </c>
      <c r="B81" s="11">
        <v>330</v>
      </c>
      <c r="C81" s="32">
        <v>827936.96</v>
      </c>
      <c r="D81" s="21">
        <f>700000+120000+10000+5000</f>
        <v>835000</v>
      </c>
      <c r="E81" s="21">
        <v>1051000</v>
      </c>
      <c r="F81" s="21">
        <f>840000+315000+10000</f>
        <v>1165000</v>
      </c>
      <c r="G81" s="42"/>
    </row>
    <row r="82" spans="1:7" ht="15" customHeight="1">
      <c r="A82" t="s">
        <v>7</v>
      </c>
      <c r="B82" s="12">
        <v>331</v>
      </c>
      <c r="C82" s="29">
        <f>114360.4+9930</f>
        <v>124290.4</v>
      </c>
      <c r="D82" s="21">
        <v>150000</v>
      </c>
      <c r="E82" s="21">
        <v>150000</v>
      </c>
      <c r="F82" s="21">
        <v>150000</v>
      </c>
      <c r="G82" s="27"/>
    </row>
    <row r="83" spans="1:7" ht="15" customHeight="1">
      <c r="A83" t="s">
        <v>8</v>
      </c>
      <c r="B83" s="12">
        <v>332</v>
      </c>
      <c r="C83" s="29">
        <v>24125</v>
      </c>
      <c r="D83" s="21">
        <f>23000+7500+3000</f>
        <v>33500</v>
      </c>
      <c r="E83" s="21">
        <v>33500</v>
      </c>
      <c r="F83" s="21">
        <f>23000+50000</f>
        <v>73000</v>
      </c>
      <c r="G83" s="27"/>
    </row>
    <row r="84" spans="1:7" ht="15" customHeight="1">
      <c r="A84" t="s">
        <v>9</v>
      </c>
      <c r="B84" s="12">
        <v>334</v>
      </c>
      <c r="C84" s="29">
        <v>65460</v>
      </c>
      <c r="D84" s="21">
        <v>85000</v>
      </c>
      <c r="E84" s="21">
        <v>85000</v>
      </c>
      <c r="F84" s="21">
        <f>60000+15000</f>
        <v>75000</v>
      </c>
      <c r="G84" s="27"/>
    </row>
    <row r="85" spans="1:7" ht="15" customHeight="1">
      <c r="A85" s="1" t="s">
        <v>10</v>
      </c>
      <c r="B85" s="11">
        <v>335</v>
      </c>
      <c r="C85" s="29">
        <v>0</v>
      </c>
      <c r="D85" s="21">
        <v>2000</v>
      </c>
      <c r="E85" s="21">
        <v>2000</v>
      </c>
      <c r="F85" s="21">
        <v>2000</v>
      </c>
      <c r="G85" s="27"/>
    </row>
    <row r="86" spans="1:7" ht="15" customHeight="1">
      <c r="A86" t="s">
        <v>6</v>
      </c>
      <c r="B86" s="12">
        <v>339</v>
      </c>
      <c r="C86" s="29">
        <v>107276.07</v>
      </c>
      <c r="D86" s="21">
        <f>36000+5000+14000+35000+18000+20000+3000</f>
        <v>131000</v>
      </c>
      <c r="E86" s="21">
        <f>36000+5000+14000+35000+18000+3000</f>
        <v>111000</v>
      </c>
      <c r="F86" s="45">
        <v>231000</v>
      </c>
      <c r="G86" s="43">
        <f>F86-181000</f>
        <v>50000</v>
      </c>
    </row>
    <row r="87" spans="1:7" ht="15" customHeight="1">
      <c r="A87" t="s">
        <v>11</v>
      </c>
      <c r="B87" s="12">
        <v>350</v>
      </c>
      <c r="C87" s="33">
        <v>251592.81</v>
      </c>
      <c r="D87" s="22">
        <f>150000+60000+80000+35000+125000-100000-30000</f>
        <v>320000</v>
      </c>
      <c r="E87" s="22">
        <f>150000+60000+80000+35000+125000-100000-30000</f>
        <v>320000</v>
      </c>
      <c r="F87" s="46">
        <v>472000</v>
      </c>
      <c r="G87" s="74">
        <f>F87-467000</f>
        <v>5000</v>
      </c>
    </row>
    <row r="88" spans="1:7" ht="14.2" customHeight="1">
      <c r="A88" s="2" t="s">
        <v>48</v>
      </c>
      <c r="B88" s="5"/>
      <c r="C88" s="31">
        <f t="shared" ref="C88" si="0">SUM(C79:C87)</f>
        <v>1416367.8800000001</v>
      </c>
      <c r="D88" s="19">
        <f>SUM(D79:D87)</f>
        <v>1887500</v>
      </c>
      <c r="E88" s="19">
        <f>SUM(E79:E87)</f>
        <v>1789500</v>
      </c>
      <c r="F88" s="19">
        <f>SUM(F79:F87)</f>
        <v>2201000</v>
      </c>
      <c r="G88" s="26">
        <v>55000</v>
      </c>
    </row>
    <row r="89" spans="1:7" ht="14.2" customHeight="1">
      <c r="A89" s="2"/>
      <c r="B89" s="5"/>
      <c r="C89" s="31"/>
      <c r="D89" s="19"/>
      <c r="E89" s="19"/>
      <c r="F89" s="19"/>
      <c r="G89" s="60"/>
    </row>
    <row r="90" spans="1:7" ht="14.2" customHeight="1">
      <c r="A90" s="2"/>
      <c r="B90" s="5"/>
      <c r="C90" s="31"/>
      <c r="D90" s="19"/>
      <c r="E90" s="19"/>
      <c r="F90" s="19"/>
      <c r="G90" s="60"/>
    </row>
    <row r="91" spans="1:7" ht="14.2" customHeight="1">
      <c r="A91" s="2"/>
      <c r="B91" s="5"/>
      <c r="C91" s="31"/>
      <c r="D91" s="19"/>
      <c r="E91" s="19"/>
      <c r="F91" s="19"/>
      <c r="G91" s="60"/>
    </row>
    <row r="92" spans="1:7" ht="14.2" customHeight="1">
      <c r="A92" s="2"/>
      <c r="B92" s="5"/>
      <c r="C92" s="31"/>
      <c r="D92" s="19"/>
      <c r="E92" s="19"/>
      <c r="F92" s="19"/>
      <c r="G92" s="60"/>
    </row>
    <row r="93" spans="1:7" ht="14.2" customHeight="1">
      <c r="A93" s="2"/>
      <c r="B93" s="5"/>
      <c r="C93" s="31"/>
      <c r="D93" s="19"/>
      <c r="E93" s="19"/>
      <c r="F93" s="19"/>
      <c r="G93" s="60"/>
    </row>
    <row r="94" spans="1:7" ht="14.2" customHeight="1">
      <c r="A94" s="2"/>
      <c r="B94" s="5"/>
      <c r="C94" s="31"/>
      <c r="D94" s="19"/>
      <c r="E94" s="19"/>
      <c r="F94" s="19"/>
      <c r="G94" s="60"/>
    </row>
    <row r="95" spans="1:7" ht="14.2" customHeight="1">
      <c r="A95" s="2"/>
      <c r="B95" s="5"/>
      <c r="C95" s="31"/>
      <c r="D95" s="19"/>
      <c r="E95" s="19"/>
      <c r="F95" s="19"/>
      <c r="G95" s="60"/>
    </row>
    <row r="96" spans="1:7" ht="14.2" customHeight="1">
      <c r="A96" s="2"/>
      <c r="B96" s="5"/>
      <c r="C96" s="31"/>
      <c r="D96" s="19"/>
      <c r="E96" s="19"/>
      <c r="F96" s="19"/>
      <c r="G96" s="60"/>
    </row>
    <row r="97" spans="1:7" ht="14.2" customHeight="1">
      <c r="A97" s="2"/>
      <c r="B97" s="5"/>
      <c r="C97" s="31"/>
      <c r="D97" s="19"/>
      <c r="E97" s="19"/>
      <c r="F97" s="19"/>
      <c r="G97" s="60"/>
    </row>
    <row r="98" spans="1:7" ht="14.2" customHeight="1">
      <c r="A98" s="2"/>
      <c r="B98" s="5"/>
      <c r="C98" s="31"/>
      <c r="D98" s="19"/>
      <c r="E98" s="19"/>
      <c r="F98" s="19"/>
      <c r="G98" s="60"/>
    </row>
    <row r="99" spans="1:7" ht="14.2" customHeight="1">
      <c r="A99" s="2"/>
      <c r="B99" s="5"/>
      <c r="C99" s="31"/>
      <c r="D99" s="19"/>
      <c r="E99" s="19"/>
      <c r="F99" s="19"/>
      <c r="G99" s="60"/>
    </row>
    <row r="100" spans="1:7" ht="14.2" customHeight="1">
      <c r="A100" s="2"/>
      <c r="B100" s="5"/>
      <c r="C100" s="31"/>
      <c r="D100" s="19"/>
      <c r="E100" s="19"/>
      <c r="F100" s="19"/>
      <c r="G100" s="60"/>
    </row>
    <row r="101" spans="1:7" ht="14.2" customHeight="1">
      <c r="A101" s="2"/>
      <c r="B101" s="5"/>
      <c r="C101" s="31"/>
      <c r="D101" s="19"/>
      <c r="E101" s="19"/>
      <c r="F101" s="19"/>
      <c r="G101" s="60"/>
    </row>
    <row r="102" spans="1:7" ht="14.2" customHeight="1">
      <c r="A102" s="2"/>
      <c r="B102" s="5"/>
      <c r="C102" s="57"/>
      <c r="D102" s="18"/>
      <c r="E102" s="18"/>
      <c r="F102" s="18"/>
      <c r="G102" s="60"/>
    </row>
    <row r="103" spans="1:7" ht="14.2" customHeight="1">
      <c r="A103" s="2"/>
      <c r="B103" s="5"/>
      <c r="C103" s="51" t="s">
        <v>132</v>
      </c>
      <c r="D103" s="52" t="s">
        <v>127</v>
      </c>
      <c r="E103" s="52" t="s">
        <v>127</v>
      </c>
      <c r="F103" s="52" t="s">
        <v>135</v>
      </c>
      <c r="G103" s="60"/>
    </row>
    <row r="104" spans="1:7" ht="14.2" customHeight="1" thickBot="1">
      <c r="A104" s="2"/>
      <c r="B104" s="5"/>
      <c r="C104" s="53" t="s">
        <v>113</v>
      </c>
      <c r="D104" s="54" t="s">
        <v>122</v>
      </c>
      <c r="E104" s="54" t="s">
        <v>114</v>
      </c>
      <c r="F104" s="54" t="s">
        <v>131</v>
      </c>
      <c r="G104" s="27"/>
    </row>
    <row r="105" spans="1:7" ht="14.2" customHeight="1">
      <c r="A105" s="2" t="s">
        <v>50</v>
      </c>
      <c r="B105" s="5"/>
      <c r="F105" s="21"/>
      <c r="G105" s="27"/>
    </row>
    <row r="106" spans="1:7" ht="15" customHeight="1">
      <c r="A106" t="s">
        <v>12</v>
      </c>
      <c r="B106" s="12">
        <v>411</v>
      </c>
      <c r="C106" s="29">
        <f>10060.8+40.02</f>
        <v>10100.82</v>
      </c>
      <c r="D106" s="21">
        <v>15000</v>
      </c>
      <c r="E106" s="21">
        <v>15000</v>
      </c>
      <c r="F106" s="21">
        <v>15000</v>
      </c>
      <c r="G106" s="27"/>
    </row>
    <row r="107" spans="1:7" ht="15" customHeight="1">
      <c r="A107" t="s">
        <v>13</v>
      </c>
      <c r="B107" s="12">
        <v>421</v>
      </c>
      <c r="C107" s="29">
        <f>15963.35+43.14</f>
        <v>16006.49</v>
      </c>
      <c r="D107" s="21">
        <v>20000</v>
      </c>
      <c r="E107" s="21">
        <v>20000</v>
      </c>
      <c r="F107" s="21">
        <v>20000</v>
      </c>
      <c r="G107" s="27"/>
    </row>
    <row r="108" spans="1:7" ht="15" customHeight="1">
      <c r="A108" t="s">
        <v>14</v>
      </c>
      <c r="B108" s="12">
        <v>423</v>
      </c>
      <c r="C108" s="29">
        <f>151250.78+2275</f>
        <v>153525.78</v>
      </c>
      <c r="D108" s="21">
        <v>260000</v>
      </c>
      <c r="E108" s="21">
        <v>330000</v>
      </c>
      <c r="F108" s="21">
        <v>300000</v>
      </c>
      <c r="G108" s="27"/>
    </row>
    <row r="109" spans="1:7" ht="15" customHeight="1">
      <c r="A109" s="1" t="s">
        <v>76</v>
      </c>
      <c r="B109" s="11">
        <v>424</v>
      </c>
      <c r="C109" s="29">
        <v>10175</v>
      </c>
      <c r="D109" s="21">
        <f>15000+5000</f>
        <v>20000</v>
      </c>
      <c r="E109" s="21">
        <v>20000</v>
      </c>
      <c r="F109" s="21">
        <v>20000</v>
      </c>
      <c r="G109" s="27"/>
    </row>
    <row r="110" spans="1:7" ht="15" customHeight="1">
      <c r="A110" s="1" t="s">
        <v>77</v>
      </c>
      <c r="B110" s="11">
        <v>430</v>
      </c>
      <c r="C110" s="29">
        <f>122075.46+1658.25+1658.25</f>
        <v>125391.96</v>
      </c>
      <c r="D110" s="21">
        <v>165000</v>
      </c>
      <c r="E110" s="21">
        <v>165000</v>
      </c>
      <c r="F110" s="21">
        <f>75000+65000</f>
        <v>140000</v>
      </c>
      <c r="G110" s="27"/>
    </row>
    <row r="111" spans="1:7" ht="15" customHeight="1">
      <c r="A111" t="s">
        <v>15</v>
      </c>
      <c r="B111" s="12">
        <v>432</v>
      </c>
      <c r="C111" s="29">
        <v>1747</v>
      </c>
      <c r="D111" s="21">
        <v>4000</v>
      </c>
      <c r="E111" s="21">
        <v>4000</v>
      </c>
      <c r="F111" s="21">
        <v>4000</v>
      </c>
      <c r="G111" s="27"/>
    </row>
    <row r="112" spans="1:7" ht="15" customHeight="1">
      <c r="A112" s="1" t="s">
        <v>60</v>
      </c>
      <c r="B112" s="11">
        <v>440</v>
      </c>
      <c r="C112" s="29">
        <v>1450</v>
      </c>
      <c r="D112" s="21">
        <v>70000</v>
      </c>
      <c r="E112" s="21">
        <v>70000</v>
      </c>
      <c r="F112" s="21">
        <v>70000</v>
      </c>
      <c r="G112" s="42"/>
    </row>
    <row r="113" spans="1:7" ht="15" customHeight="1">
      <c r="A113" s="1" t="s">
        <v>82</v>
      </c>
      <c r="B113" s="11">
        <v>442</v>
      </c>
      <c r="C113" s="29">
        <v>15465.64</v>
      </c>
      <c r="D113" s="21">
        <v>30000</v>
      </c>
      <c r="E113" s="21">
        <v>30000</v>
      </c>
      <c r="F113" s="21">
        <v>30000</v>
      </c>
      <c r="G113" s="27"/>
    </row>
    <row r="114" spans="1:7" ht="15" customHeight="1">
      <c r="A114" s="1" t="s">
        <v>78</v>
      </c>
      <c r="B114" s="11">
        <v>441</v>
      </c>
      <c r="C114" s="29">
        <f>1572802.71-5232.15</f>
        <v>1567570.56</v>
      </c>
      <c r="D114" s="21">
        <v>1920000</v>
      </c>
      <c r="E114" s="21">
        <v>1980000</v>
      </c>
      <c r="F114" s="21">
        <v>2100000</v>
      </c>
      <c r="G114" s="27"/>
    </row>
    <row r="115" spans="1:7" ht="15" customHeight="1">
      <c r="A115" s="1" t="s">
        <v>79</v>
      </c>
      <c r="B115" s="11">
        <v>490</v>
      </c>
      <c r="C115" s="33">
        <v>97955</v>
      </c>
      <c r="D115" s="22">
        <v>60000</v>
      </c>
      <c r="E115" s="22">
        <v>60000</v>
      </c>
      <c r="F115" s="46">
        <v>34300</v>
      </c>
      <c r="G115" s="68">
        <f>F115-40000</f>
        <v>-5700</v>
      </c>
    </row>
    <row r="116" spans="1:7" ht="15" customHeight="1">
      <c r="A116" s="2" t="s">
        <v>49</v>
      </c>
      <c r="B116" s="5"/>
      <c r="C116" s="31">
        <f>SUM(C106:C115)</f>
        <v>1999388.25</v>
      </c>
      <c r="D116" s="19">
        <f>SUM(D106:D115)</f>
        <v>2564000</v>
      </c>
      <c r="E116" s="19">
        <f>SUM(E106:E115)</f>
        <v>2694000</v>
      </c>
      <c r="F116" s="19">
        <f>SUM(F106:F115)</f>
        <v>2733300</v>
      </c>
      <c r="G116" s="6"/>
    </row>
    <row r="117" spans="1:7" ht="15" customHeight="1">
      <c r="A117" s="2"/>
      <c r="B117" s="5"/>
      <c r="C117" s="31"/>
      <c r="D117" s="19"/>
      <c r="E117" s="19"/>
      <c r="F117" s="19"/>
      <c r="G117" s="6"/>
    </row>
    <row r="118" spans="1:7" ht="14.2" customHeight="1">
      <c r="A118" s="2"/>
      <c r="B118" s="5"/>
      <c r="F118" s="21"/>
    </row>
    <row r="119" spans="1:7" ht="14.2" customHeight="1">
      <c r="A119" s="2" t="s">
        <v>51</v>
      </c>
      <c r="B119" s="5"/>
      <c r="F119" s="21"/>
    </row>
    <row r="120" spans="1:7" ht="15" customHeight="1">
      <c r="A120" t="s">
        <v>0</v>
      </c>
      <c r="B120" s="11" t="s">
        <v>116</v>
      </c>
      <c r="C120" s="29">
        <v>168759.92</v>
      </c>
      <c r="D120" s="21">
        <v>105000</v>
      </c>
      <c r="E120" s="21">
        <v>90000</v>
      </c>
      <c r="F120" s="21">
        <v>60000</v>
      </c>
      <c r="G120" s="1"/>
    </row>
    <row r="121" spans="1:7" ht="15" customHeight="1">
      <c r="A121" s="1" t="s">
        <v>109</v>
      </c>
      <c r="B121" s="12">
        <v>580</v>
      </c>
      <c r="C121" s="29">
        <v>17227.87</v>
      </c>
      <c r="D121" s="21">
        <v>50000</v>
      </c>
      <c r="E121" s="21">
        <v>25000</v>
      </c>
      <c r="F121" s="21">
        <v>50000</v>
      </c>
      <c r="G121" s="68"/>
    </row>
    <row r="122" spans="1:7" ht="15" customHeight="1">
      <c r="A122" s="1" t="s">
        <v>91</v>
      </c>
      <c r="B122" s="11">
        <v>580</v>
      </c>
      <c r="C122" s="29">
        <v>61141.66</v>
      </c>
      <c r="D122" s="21">
        <v>92000</v>
      </c>
      <c r="E122" s="21">
        <v>50000</v>
      </c>
      <c r="F122" s="21">
        <v>92000</v>
      </c>
      <c r="G122" s="71">
        <v>-3000</v>
      </c>
    </row>
    <row r="123" spans="1:7" ht="15" customHeight="1">
      <c r="A123" s="1" t="s">
        <v>118</v>
      </c>
      <c r="B123" s="11" t="s">
        <v>115</v>
      </c>
      <c r="C123" s="29">
        <v>9023.66</v>
      </c>
      <c r="D123" s="21">
        <v>20000</v>
      </c>
      <c r="E123" s="21">
        <v>20000</v>
      </c>
      <c r="F123" s="21">
        <v>20000</v>
      </c>
      <c r="G123" s="68"/>
    </row>
    <row r="124" spans="1:7" ht="15" customHeight="1">
      <c r="A124" t="s">
        <v>16</v>
      </c>
      <c r="B124" s="12">
        <v>521</v>
      </c>
      <c r="C124" s="29">
        <v>135493.54</v>
      </c>
      <c r="D124" s="21">
        <v>170000</v>
      </c>
      <c r="E124" s="21">
        <v>170000</v>
      </c>
      <c r="F124" s="21">
        <v>190000</v>
      </c>
      <c r="G124" s="71">
        <v>20000</v>
      </c>
    </row>
    <row r="125" spans="1:7" ht="15" customHeight="1">
      <c r="A125" t="s">
        <v>17</v>
      </c>
      <c r="B125" s="12">
        <v>523</v>
      </c>
      <c r="C125" s="29">
        <v>88201.75</v>
      </c>
      <c r="D125" s="21">
        <v>145000</v>
      </c>
      <c r="E125" s="21">
        <v>145000</v>
      </c>
      <c r="F125" s="21">
        <v>145000</v>
      </c>
      <c r="G125" s="68"/>
    </row>
    <row r="126" spans="1:7" ht="15" customHeight="1">
      <c r="A126" t="s">
        <v>18</v>
      </c>
      <c r="B126" s="12">
        <v>526</v>
      </c>
      <c r="C126" s="29">
        <v>92727.32</v>
      </c>
      <c r="D126" s="21">
        <v>140000</v>
      </c>
      <c r="E126" s="21">
        <v>140000</v>
      </c>
      <c r="F126" s="21">
        <v>140000</v>
      </c>
      <c r="G126" s="68"/>
    </row>
    <row r="127" spans="1:7" ht="15" customHeight="1">
      <c r="A127" t="s">
        <v>19</v>
      </c>
      <c r="B127" s="12">
        <v>530</v>
      </c>
      <c r="C127" s="29">
        <v>1491516.32</v>
      </c>
      <c r="D127" s="21">
        <v>1550000</v>
      </c>
      <c r="E127" s="21">
        <f>700000+400000+8000+7000+10000+400000+300000</f>
        <v>1825000</v>
      </c>
      <c r="F127" s="21">
        <v>3400000</v>
      </c>
      <c r="G127" s="68">
        <v>400000</v>
      </c>
    </row>
    <row r="128" spans="1:7" ht="15" customHeight="1">
      <c r="A128" s="1" t="s">
        <v>129</v>
      </c>
      <c r="B128" s="12">
        <v>530</v>
      </c>
      <c r="C128" s="29">
        <v>3577.15</v>
      </c>
      <c r="D128" s="21">
        <v>7000</v>
      </c>
      <c r="E128" s="21">
        <v>7000</v>
      </c>
      <c r="F128" s="21">
        <v>7000</v>
      </c>
      <c r="G128" s="68"/>
    </row>
    <row r="129" spans="1:7" ht="15" customHeight="1">
      <c r="A129" t="s">
        <v>20</v>
      </c>
      <c r="B129" s="12">
        <v>533</v>
      </c>
      <c r="C129" s="29">
        <v>31161.1</v>
      </c>
      <c r="D129" s="21">
        <v>33500</v>
      </c>
      <c r="E129" s="21">
        <f>33500+10000</f>
        <v>43500</v>
      </c>
      <c r="F129" s="21">
        <v>35000</v>
      </c>
      <c r="G129" s="68"/>
    </row>
    <row r="130" spans="1:7" ht="15" customHeight="1">
      <c r="A130" s="1" t="s">
        <v>111</v>
      </c>
      <c r="B130" s="12">
        <v>540</v>
      </c>
      <c r="C130" s="29">
        <v>382156.7</v>
      </c>
      <c r="D130" s="21">
        <v>300000</v>
      </c>
      <c r="E130" s="21">
        <v>300000</v>
      </c>
      <c r="F130" s="21">
        <v>300000</v>
      </c>
      <c r="G130" s="68"/>
    </row>
    <row r="131" spans="1:7" ht="15" customHeight="1">
      <c r="A131" s="1" t="s">
        <v>126</v>
      </c>
      <c r="B131" s="12">
        <v>540</v>
      </c>
      <c r="C131" s="29">
        <v>192462.05</v>
      </c>
      <c r="D131" s="21">
        <v>100000</v>
      </c>
      <c r="E131" s="21">
        <v>50000</v>
      </c>
      <c r="F131" s="21">
        <v>50000</v>
      </c>
      <c r="G131" s="68"/>
    </row>
    <row r="132" spans="1:7" ht="15" customHeight="1">
      <c r="A132" t="s">
        <v>21</v>
      </c>
      <c r="B132" s="12">
        <v>550</v>
      </c>
      <c r="C132" s="29">
        <v>66728.77</v>
      </c>
      <c r="D132" s="21">
        <f>55000+50000</f>
        <v>105000</v>
      </c>
      <c r="E132" s="21">
        <v>65000</v>
      </c>
      <c r="F132" s="21">
        <v>95000</v>
      </c>
      <c r="G132" s="71">
        <v>30000</v>
      </c>
    </row>
    <row r="133" spans="1:7" ht="15" customHeight="1">
      <c r="A133" t="s">
        <v>22</v>
      </c>
      <c r="B133" s="12">
        <v>560</v>
      </c>
      <c r="C133" s="29">
        <v>822484.12</v>
      </c>
      <c r="D133" s="21">
        <v>815000</v>
      </c>
      <c r="E133" s="21">
        <v>815000</v>
      </c>
      <c r="F133" s="21">
        <v>815000</v>
      </c>
      <c r="G133" s="68"/>
    </row>
    <row r="134" spans="1:7" ht="15" customHeight="1">
      <c r="A134" t="s">
        <v>117</v>
      </c>
      <c r="B134" s="12">
        <v>581</v>
      </c>
      <c r="C134" s="29">
        <v>150752.06</v>
      </c>
      <c r="D134" s="21">
        <f>100000+50000+4000-54000</f>
        <v>100000</v>
      </c>
      <c r="E134" s="21">
        <v>100000</v>
      </c>
      <c r="F134" s="21">
        <v>100000</v>
      </c>
      <c r="G134" s="68"/>
    </row>
    <row r="135" spans="1:7" ht="15" customHeight="1">
      <c r="A135" t="s">
        <v>23</v>
      </c>
      <c r="B135" s="12">
        <v>583</v>
      </c>
      <c r="C135" s="29">
        <v>25928.06</v>
      </c>
      <c r="D135" s="21">
        <v>55000</v>
      </c>
      <c r="E135" s="21">
        <v>30000</v>
      </c>
      <c r="F135" s="21">
        <v>35000</v>
      </c>
      <c r="G135" s="68"/>
    </row>
    <row r="136" spans="1:7" ht="15" customHeight="1">
      <c r="A136" t="s">
        <v>1</v>
      </c>
      <c r="B136" s="12">
        <v>594</v>
      </c>
      <c r="C136" s="29">
        <v>971461.67</v>
      </c>
      <c r="D136" s="21">
        <f>D10*0.025</f>
        <v>1063833.75</v>
      </c>
      <c r="E136" s="21">
        <f>1102790+178438</f>
        <v>1281228</v>
      </c>
      <c r="F136" s="21">
        <f>F10*0.03</f>
        <v>1371127.5</v>
      </c>
      <c r="G136" s="68"/>
    </row>
    <row r="137" spans="1:7" ht="15" customHeight="1">
      <c r="A137" t="s">
        <v>63</v>
      </c>
      <c r="B137" s="12">
        <v>594</v>
      </c>
      <c r="C137" s="29">
        <v>122500.36</v>
      </c>
      <c r="D137" s="21">
        <f>D10*0.004</f>
        <v>170213.4</v>
      </c>
      <c r="E137" s="21">
        <f>E10*0.004</f>
        <v>163839.62</v>
      </c>
      <c r="F137" s="21">
        <f>F10*0.004</f>
        <v>182817</v>
      </c>
      <c r="G137" s="68"/>
    </row>
    <row r="138" spans="1:7" ht="14.2" customHeight="1">
      <c r="A138" s="1" t="s">
        <v>110</v>
      </c>
      <c r="B138" s="11">
        <v>599</v>
      </c>
      <c r="C138" s="33">
        <v>1776.95</v>
      </c>
      <c r="D138" s="22">
        <v>30000</v>
      </c>
      <c r="E138" s="22">
        <v>30000</v>
      </c>
      <c r="F138" s="22">
        <v>30000</v>
      </c>
      <c r="G138" s="75"/>
    </row>
    <row r="139" spans="1:7" ht="14.2" customHeight="1">
      <c r="A139" s="2" t="s">
        <v>52</v>
      </c>
      <c r="B139" s="5"/>
      <c r="C139" s="31">
        <f>SUM(C120:C138)</f>
        <v>4835081.0300000012</v>
      </c>
      <c r="D139" s="19">
        <f>SUM(D120:D138)</f>
        <v>5051547.1500000004</v>
      </c>
      <c r="E139" s="19">
        <f>SUM(E120:E138)</f>
        <v>5350567.62</v>
      </c>
      <c r="F139" s="19">
        <f>SUM(F120:F138)</f>
        <v>7117944.5</v>
      </c>
      <c r="G139" s="68">
        <f>SUM(G120:G138)</f>
        <v>447000</v>
      </c>
    </row>
    <row r="140" spans="1:7" ht="14.2" customHeight="1">
      <c r="A140" s="2"/>
      <c r="B140" s="5"/>
      <c r="C140" s="31"/>
      <c r="D140" s="19"/>
      <c r="E140" s="19"/>
      <c r="F140" s="19"/>
      <c r="G140" s="68"/>
    </row>
    <row r="141" spans="1:7" ht="14.2" customHeight="1">
      <c r="A141" s="2"/>
      <c r="B141" s="5"/>
      <c r="C141" s="31"/>
      <c r="D141" s="19"/>
      <c r="E141" s="19"/>
      <c r="F141" s="19"/>
      <c r="G141" s="6"/>
    </row>
    <row r="142" spans="1:7" ht="14.2" customHeight="1">
      <c r="A142" s="2"/>
      <c r="B142" s="5"/>
      <c r="C142" s="31"/>
      <c r="D142" s="19"/>
      <c r="E142" s="19"/>
      <c r="F142" s="19"/>
      <c r="G142" s="6"/>
    </row>
    <row r="143" spans="1:7" ht="14.2" customHeight="1">
      <c r="A143" s="2"/>
      <c r="B143" s="5"/>
      <c r="C143" s="31"/>
      <c r="D143" s="19"/>
      <c r="E143" s="19"/>
      <c r="F143" s="19"/>
      <c r="G143" s="6"/>
    </row>
    <row r="144" spans="1:7" ht="14.2" customHeight="1">
      <c r="A144" s="2"/>
      <c r="B144" s="5"/>
      <c r="C144" s="31"/>
      <c r="D144" s="19"/>
      <c r="E144" s="19"/>
      <c r="F144" s="19"/>
      <c r="G144" s="6"/>
    </row>
    <row r="145" spans="1:7" ht="14.2" customHeight="1">
      <c r="A145" s="2"/>
      <c r="B145" s="5"/>
      <c r="C145" s="31"/>
      <c r="D145" s="19"/>
      <c r="E145" s="19"/>
      <c r="F145" s="19"/>
      <c r="G145" s="6"/>
    </row>
    <row r="146" spans="1:7" ht="14.2" customHeight="1">
      <c r="A146" s="2"/>
      <c r="B146" s="5"/>
      <c r="C146" s="31"/>
      <c r="D146" s="19"/>
      <c r="E146" s="19"/>
      <c r="F146" s="19"/>
      <c r="G146" s="6"/>
    </row>
    <row r="147" spans="1:7" ht="14.2" customHeight="1">
      <c r="A147" s="2"/>
      <c r="B147" s="5"/>
      <c r="C147" s="31"/>
      <c r="D147" s="19"/>
      <c r="E147" s="19"/>
      <c r="F147" s="19"/>
      <c r="G147" s="6"/>
    </row>
    <row r="148" spans="1:7" ht="14.2" customHeight="1">
      <c r="A148" s="2"/>
      <c r="B148" s="5"/>
      <c r="C148" s="31"/>
      <c r="D148" s="19"/>
      <c r="E148" s="19"/>
      <c r="F148" s="19"/>
      <c r="G148" s="6"/>
    </row>
    <row r="149" spans="1:7" ht="14.2" customHeight="1">
      <c r="A149" s="2"/>
      <c r="B149" s="5"/>
      <c r="C149" s="31"/>
      <c r="D149" s="19"/>
      <c r="E149" s="19"/>
      <c r="F149" s="19"/>
      <c r="G149" s="6"/>
    </row>
    <row r="150" spans="1:7" ht="14.2" customHeight="1">
      <c r="A150" s="2"/>
      <c r="B150" s="5"/>
      <c r="C150" s="31"/>
      <c r="D150" s="19"/>
      <c r="E150" s="19"/>
      <c r="F150" s="19"/>
      <c r="G150" s="6"/>
    </row>
    <row r="151" spans="1:7" ht="14.2" customHeight="1">
      <c r="A151" s="2"/>
      <c r="B151" s="5"/>
      <c r="C151" s="31"/>
      <c r="D151" s="19"/>
      <c r="E151" s="19"/>
      <c r="F151" s="19"/>
      <c r="G151" s="6"/>
    </row>
    <row r="152" spans="1:7" ht="14.2" customHeight="1">
      <c r="A152" s="2"/>
      <c r="B152" s="5"/>
      <c r="C152" s="31"/>
      <c r="D152" s="19"/>
      <c r="E152" s="19"/>
      <c r="F152" s="19"/>
      <c r="G152" s="6"/>
    </row>
    <row r="153" spans="1:7" ht="14.2" customHeight="1">
      <c r="A153" s="2"/>
      <c r="B153" s="5"/>
      <c r="C153" s="31"/>
      <c r="D153" s="19"/>
      <c r="E153" s="19"/>
      <c r="F153" s="19"/>
      <c r="G153" s="6"/>
    </row>
    <row r="154" spans="1:7" ht="14.2" customHeight="1">
      <c r="A154" s="2"/>
      <c r="B154" s="5"/>
      <c r="C154" s="31"/>
      <c r="D154" s="19"/>
      <c r="E154" s="19"/>
      <c r="F154" s="19"/>
      <c r="G154" s="6"/>
    </row>
    <row r="155" spans="1:7" ht="14.2" customHeight="1">
      <c r="A155" s="2"/>
      <c r="B155" s="5"/>
      <c r="C155" s="51" t="s">
        <v>132</v>
      </c>
      <c r="D155" s="52" t="s">
        <v>127</v>
      </c>
      <c r="E155" s="52" t="s">
        <v>127</v>
      </c>
      <c r="F155" s="52" t="s">
        <v>135</v>
      </c>
      <c r="G155" s="6"/>
    </row>
    <row r="156" spans="1:7" ht="14.2" customHeight="1" thickBot="1">
      <c r="A156" s="2"/>
      <c r="B156" s="5"/>
      <c r="C156" s="53" t="s">
        <v>113</v>
      </c>
      <c r="D156" s="54" t="s">
        <v>122</v>
      </c>
      <c r="E156" s="54" t="s">
        <v>114</v>
      </c>
      <c r="F156" s="54" t="s">
        <v>131</v>
      </c>
      <c r="G156" s="6"/>
    </row>
    <row r="157" spans="1:7" ht="14.2" customHeight="1">
      <c r="A157" s="2"/>
      <c r="B157" s="5"/>
      <c r="F157" s="21"/>
    </row>
    <row r="158" spans="1:7" ht="14.2" customHeight="1">
      <c r="A158" s="2" t="s">
        <v>53</v>
      </c>
      <c r="B158" s="5"/>
      <c r="F158" s="21"/>
    </row>
    <row r="159" spans="1:7" ht="14.2" customHeight="1">
      <c r="A159" t="s">
        <v>24</v>
      </c>
      <c r="B159" s="12">
        <v>600</v>
      </c>
      <c r="C159" s="29">
        <v>28334.2</v>
      </c>
      <c r="D159" s="21">
        <v>50000</v>
      </c>
      <c r="E159" s="21">
        <v>50000</v>
      </c>
      <c r="F159" s="21">
        <v>50000</v>
      </c>
    </row>
    <row r="160" spans="1:7" ht="14.2" customHeight="1">
      <c r="A160" t="s">
        <v>25</v>
      </c>
      <c r="B160" s="12">
        <v>610</v>
      </c>
      <c r="C160" s="32">
        <v>52553.01</v>
      </c>
      <c r="D160" s="21">
        <v>72000</v>
      </c>
      <c r="E160" s="21">
        <v>122000</v>
      </c>
      <c r="F160" s="21">
        <v>122000</v>
      </c>
      <c r="G160" s="27"/>
    </row>
    <row r="161" spans="1:7" ht="14.2" customHeight="1">
      <c r="A161" s="1" t="s">
        <v>124</v>
      </c>
      <c r="B161" s="12">
        <v>610</v>
      </c>
      <c r="C161" s="32">
        <v>3717.25</v>
      </c>
      <c r="D161" s="21">
        <v>10000</v>
      </c>
      <c r="E161" s="21">
        <v>10000</v>
      </c>
      <c r="F161" s="21">
        <v>5000</v>
      </c>
    </row>
    <row r="162" spans="1:7" ht="15" customHeight="1">
      <c r="A162" s="1" t="s">
        <v>94</v>
      </c>
      <c r="B162" s="11">
        <v>600</v>
      </c>
      <c r="C162" s="29">
        <v>58616.06</v>
      </c>
      <c r="D162" s="21">
        <v>65000</v>
      </c>
      <c r="E162" s="21">
        <v>65000</v>
      </c>
      <c r="F162" s="21">
        <v>85000</v>
      </c>
    </row>
    <row r="163" spans="1:7" ht="14.2" customHeight="1">
      <c r="A163" s="1" t="s">
        <v>95</v>
      </c>
      <c r="B163" s="11">
        <v>600</v>
      </c>
      <c r="C163" s="29">
        <v>50362.080000000002</v>
      </c>
      <c r="D163" s="21">
        <v>25000</v>
      </c>
      <c r="E163" s="21">
        <v>25000</v>
      </c>
      <c r="F163" s="45">
        <v>25000</v>
      </c>
      <c r="G163" s="71">
        <v>5000</v>
      </c>
    </row>
    <row r="164" spans="1:7" ht="15" customHeight="1">
      <c r="A164" s="1" t="s">
        <v>112</v>
      </c>
      <c r="B164" s="11">
        <v>600</v>
      </c>
      <c r="C164" s="29">
        <v>1694.78</v>
      </c>
      <c r="D164" s="21">
        <v>10000</v>
      </c>
      <c r="E164" s="21">
        <v>10000</v>
      </c>
      <c r="F164" s="21">
        <v>5000</v>
      </c>
      <c r="G164" s="68"/>
    </row>
    <row r="165" spans="1:7" s="7" customFormat="1" ht="15" customHeight="1">
      <c r="A165" s="8" t="s">
        <v>96</v>
      </c>
      <c r="B165" s="13">
        <v>611</v>
      </c>
      <c r="C165" s="35">
        <v>79226.22</v>
      </c>
      <c r="D165" s="24">
        <v>150000</v>
      </c>
      <c r="E165" s="24">
        <v>85000</v>
      </c>
      <c r="F165" s="24">
        <v>100000</v>
      </c>
      <c r="G165" s="76"/>
    </row>
    <row r="166" spans="1:7" ht="15" customHeight="1">
      <c r="A166" s="1" t="s">
        <v>97</v>
      </c>
      <c r="B166" s="11">
        <v>611</v>
      </c>
      <c r="C166" s="29">
        <v>23705.9</v>
      </c>
      <c r="D166" s="21">
        <f>60000-25000</f>
        <v>35000</v>
      </c>
      <c r="E166" s="21">
        <v>20000</v>
      </c>
      <c r="F166" s="21">
        <v>40000</v>
      </c>
      <c r="G166" s="68"/>
    </row>
    <row r="167" spans="1:7" ht="15" customHeight="1">
      <c r="A167" s="1" t="s">
        <v>98</v>
      </c>
      <c r="B167" s="11">
        <v>611</v>
      </c>
      <c r="C167" s="29">
        <v>895.66</v>
      </c>
      <c r="D167" s="21">
        <v>5000</v>
      </c>
      <c r="E167" s="21">
        <v>5000</v>
      </c>
      <c r="F167" s="21">
        <v>5000</v>
      </c>
      <c r="G167" s="68"/>
    </row>
    <row r="168" spans="1:7" ht="15" customHeight="1">
      <c r="A168" s="1" t="s">
        <v>86</v>
      </c>
      <c r="B168" s="11">
        <v>612</v>
      </c>
      <c r="C168" s="29">
        <v>4081.07</v>
      </c>
      <c r="D168" s="21">
        <v>15000</v>
      </c>
      <c r="E168" s="21">
        <v>15000</v>
      </c>
      <c r="F168" s="45">
        <v>7500</v>
      </c>
      <c r="G168" s="68">
        <v>-7500</v>
      </c>
    </row>
    <row r="169" spans="1:7" ht="15" customHeight="1">
      <c r="A169" t="s">
        <v>26</v>
      </c>
      <c r="B169" s="12">
        <v>614</v>
      </c>
      <c r="C169" s="29">
        <v>60748.08</v>
      </c>
      <c r="D169" s="21">
        <f>19500+64500-10000</f>
        <v>74000</v>
      </c>
      <c r="E169" s="21">
        <v>74000</v>
      </c>
      <c r="F169" s="45">
        <v>84500</v>
      </c>
      <c r="G169" s="68">
        <f>F169-58000</f>
        <v>26500</v>
      </c>
    </row>
    <row r="170" spans="1:7" ht="15" customHeight="1">
      <c r="A170" t="s">
        <v>27</v>
      </c>
      <c r="B170" s="12">
        <v>621</v>
      </c>
      <c r="C170" s="29">
        <v>31088.37</v>
      </c>
      <c r="D170" s="21">
        <v>30000</v>
      </c>
      <c r="E170" s="21">
        <v>30000</v>
      </c>
      <c r="F170" s="21">
        <v>45000</v>
      </c>
      <c r="G170" s="68"/>
    </row>
    <row r="171" spans="1:7" ht="15" customHeight="1">
      <c r="A171" t="s">
        <v>28</v>
      </c>
      <c r="B171" s="12">
        <v>622</v>
      </c>
      <c r="C171" s="29">
        <v>81716.160000000003</v>
      </c>
      <c r="D171" s="21">
        <v>90000</v>
      </c>
      <c r="E171" s="21">
        <v>90000</v>
      </c>
      <c r="F171" s="21">
        <v>95000</v>
      </c>
      <c r="G171" s="68"/>
    </row>
    <row r="172" spans="1:7" ht="15" customHeight="1">
      <c r="A172" t="s">
        <v>29</v>
      </c>
      <c r="B172" s="12">
        <v>625</v>
      </c>
      <c r="C172" s="29">
        <v>42896.2</v>
      </c>
      <c r="D172" s="21">
        <v>80000</v>
      </c>
      <c r="E172" s="21">
        <v>50000</v>
      </c>
      <c r="F172" s="21">
        <v>60000</v>
      </c>
      <c r="G172" s="68"/>
    </row>
    <row r="173" spans="1:7" ht="15" customHeight="1">
      <c r="A173" t="s">
        <v>30</v>
      </c>
      <c r="B173" s="12">
        <v>640</v>
      </c>
      <c r="C173" s="32">
        <v>45396.98</v>
      </c>
      <c r="D173" s="21">
        <v>40000</v>
      </c>
      <c r="E173" s="21">
        <v>40000</v>
      </c>
      <c r="F173" s="45">
        <v>60000</v>
      </c>
      <c r="G173" s="68">
        <v>20000</v>
      </c>
    </row>
    <row r="174" spans="1:7" ht="15" customHeight="1">
      <c r="A174" s="1" t="s">
        <v>31</v>
      </c>
      <c r="B174" s="11">
        <v>650</v>
      </c>
      <c r="C174" s="29">
        <v>257712.74</v>
      </c>
      <c r="D174" s="21">
        <v>210000</v>
      </c>
      <c r="E174" s="21">
        <f>210000+20000</f>
        <v>230000</v>
      </c>
      <c r="F174" s="21">
        <v>125000</v>
      </c>
      <c r="G174" s="68"/>
    </row>
    <row r="175" spans="1:7" ht="15" customHeight="1">
      <c r="A175" t="s">
        <v>32</v>
      </c>
      <c r="B175" s="12">
        <v>651</v>
      </c>
      <c r="C175" s="29">
        <v>206250.04</v>
      </c>
      <c r="D175" s="21">
        <v>300000</v>
      </c>
      <c r="E175" s="21">
        <v>300000</v>
      </c>
      <c r="F175" s="21">
        <v>0</v>
      </c>
      <c r="G175" s="68"/>
    </row>
    <row r="176" spans="1:7" ht="15" customHeight="1">
      <c r="A176" t="s">
        <v>33</v>
      </c>
      <c r="B176" s="12">
        <v>652</v>
      </c>
      <c r="C176" s="29">
        <v>190792.64</v>
      </c>
      <c r="D176" s="21">
        <f>379000-5000</f>
        <v>374000</v>
      </c>
      <c r="E176" s="21">
        <v>379000</v>
      </c>
      <c r="F176" s="21">
        <v>350000</v>
      </c>
      <c r="G176" s="68"/>
    </row>
    <row r="177" spans="1:11" ht="15" customHeight="1">
      <c r="A177" t="s">
        <v>34</v>
      </c>
      <c r="B177" s="12">
        <v>653</v>
      </c>
      <c r="C177" s="29">
        <v>115833.29</v>
      </c>
      <c r="D177" s="21">
        <f>225000-5000</f>
        <v>220000</v>
      </c>
      <c r="E177" s="21">
        <v>220000</v>
      </c>
      <c r="F177" s="21">
        <v>215000</v>
      </c>
      <c r="G177" s="68"/>
    </row>
    <row r="178" spans="1:11" ht="15" customHeight="1">
      <c r="A178" t="s">
        <v>35</v>
      </c>
      <c r="B178" s="12">
        <v>654</v>
      </c>
      <c r="C178" s="29">
        <v>37873.65</v>
      </c>
      <c r="D178" s="21">
        <v>50000</v>
      </c>
      <c r="E178" s="21">
        <v>50000</v>
      </c>
      <c r="F178" s="21">
        <v>65000</v>
      </c>
      <c r="G178" s="68"/>
    </row>
    <row r="179" spans="1:11" ht="15" customHeight="1">
      <c r="A179" t="s">
        <v>36</v>
      </c>
      <c r="B179" s="12">
        <v>655</v>
      </c>
      <c r="C179" s="29">
        <v>5840.2</v>
      </c>
      <c r="D179" s="21">
        <v>10000</v>
      </c>
      <c r="E179" s="21">
        <v>10000</v>
      </c>
      <c r="F179" s="21">
        <v>5000</v>
      </c>
      <c r="G179" s="68"/>
    </row>
    <row r="180" spans="1:11" ht="15" customHeight="1">
      <c r="A180" s="1" t="s">
        <v>83</v>
      </c>
      <c r="B180" s="11">
        <v>614</v>
      </c>
      <c r="C180" s="29">
        <v>2006.85</v>
      </c>
      <c r="D180" s="21">
        <v>5000</v>
      </c>
      <c r="E180" s="21">
        <v>5000</v>
      </c>
      <c r="F180" s="45">
        <v>10000</v>
      </c>
      <c r="G180" s="68">
        <v>5000</v>
      </c>
    </row>
    <row r="181" spans="1:11" ht="15" customHeight="1">
      <c r="A181" s="1" t="s">
        <v>87</v>
      </c>
      <c r="B181" s="11">
        <v>691</v>
      </c>
      <c r="C181" s="29">
        <v>0</v>
      </c>
      <c r="D181" s="21">
        <v>1000</v>
      </c>
      <c r="E181" s="21">
        <v>1000</v>
      </c>
      <c r="F181" s="21">
        <v>1000</v>
      </c>
      <c r="G181" s="68"/>
    </row>
    <row r="182" spans="1:11" ht="15" customHeight="1">
      <c r="A182" s="1" t="s">
        <v>102</v>
      </c>
      <c r="B182" s="11">
        <v>600</v>
      </c>
      <c r="C182" s="29">
        <v>3436.77</v>
      </c>
      <c r="D182" s="21">
        <v>10000</v>
      </c>
      <c r="E182" s="21">
        <v>12000</v>
      </c>
      <c r="F182" s="45">
        <v>12000</v>
      </c>
      <c r="G182" s="68">
        <v>2000</v>
      </c>
    </row>
    <row r="183" spans="1:11" ht="14.2" customHeight="1">
      <c r="A183" s="1" t="s">
        <v>99</v>
      </c>
      <c r="B183" s="11">
        <v>690</v>
      </c>
      <c r="C183" s="29">
        <v>12426.44</v>
      </c>
      <c r="D183" s="21">
        <v>15000</v>
      </c>
      <c r="E183" s="21">
        <v>15000</v>
      </c>
      <c r="F183" s="21">
        <v>15000</v>
      </c>
      <c r="G183" s="68"/>
    </row>
    <row r="184" spans="1:11" ht="15" customHeight="1">
      <c r="A184" s="1" t="s">
        <v>84</v>
      </c>
      <c r="B184" s="11">
        <v>692</v>
      </c>
      <c r="C184" s="29">
        <v>25761.55</v>
      </c>
      <c r="D184" s="21">
        <v>17000</v>
      </c>
      <c r="E184" s="21">
        <v>17000</v>
      </c>
      <c r="F184" s="45">
        <v>25000</v>
      </c>
      <c r="G184" s="68">
        <v>10000</v>
      </c>
    </row>
    <row r="185" spans="1:11" ht="14.2" customHeight="1">
      <c r="A185" s="1" t="s">
        <v>85</v>
      </c>
      <c r="B185" s="11">
        <v>690</v>
      </c>
      <c r="C185" s="33">
        <v>89637.41</v>
      </c>
      <c r="D185" s="22">
        <v>80000</v>
      </c>
      <c r="E185" s="22">
        <v>55000</v>
      </c>
      <c r="F185" s="22">
        <v>90000</v>
      </c>
      <c r="G185" s="75"/>
    </row>
    <row r="186" spans="1:11" ht="14.2" customHeight="1">
      <c r="A186" s="2" t="s">
        <v>54</v>
      </c>
      <c r="B186" s="5"/>
      <c r="C186" s="31">
        <f>SUM(C159:C185)</f>
        <v>1512603.6</v>
      </c>
      <c r="D186" s="19">
        <f>SUM(D159:D185)</f>
        <v>2043000</v>
      </c>
      <c r="E186" s="19">
        <f>SUM(E159:E185)</f>
        <v>1985000</v>
      </c>
      <c r="F186" s="19">
        <f>SUM(F159:F185)</f>
        <v>1702000</v>
      </c>
      <c r="G186" s="68">
        <f>SUM(G159:G185)</f>
        <v>61000</v>
      </c>
    </row>
    <row r="187" spans="1:11" ht="14.2" customHeight="1">
      <c r="A187" s="2"/>
      <c r="B187" s="5"/>
      <c r="F187" s="21"/>
      <c r="G187" s="27"/>
    </row>
    <row r="188" spans="1:11" ht="14.2" customHeight="1">
      <c r="A188" s="2" t="s">
        <v>55</v>
      </c>
      <c r="B188" s="5"/>
      <c r="F188" s="21"/>
      <c r="G188" s="27"/>
    </row>
    <row r="189" spans="1:11" ht="15" customHeight="1">
      <c r="A189" t="s">
        <v>37</v>
      </c>
      <c r="B189" s="12">
        <v>732</v>
      </c>
      <c r="C189" s="29">
        <v>658691.19999999995</v>
      </c>
      <c r="D189" s="21">
        <v>450000</v>
      </c>
      <c r="E189" s="21">
        <f>D189-120000</f>
        <v>330000</v>
      </c>
      <c r="F189" s="21">
        <v>40000</v>
      </c>
      <c r="G189" s="27"/>
    </row>
    <row r="190" spans="1:11" ht="15" customHeight="1">
      <c r="A190" s="1" t="s">
        <v>88</v>
      </c>
      <c r="B190" s="11">
        <v>733</v>
      </c>
      <c r="C190" s="29">
        <v>625869.57999999996</v>
      </c>
      <c r="D190" s="21">
        <v>300000</v>
      </c>
      <c r="E190" s="21">
        <v>150000</v>
      </c>
      <c r="F190" s="21">
        <v>50000</v>
      </c>
      <c r="G190" s="27"/>
    </row>
    <row r="191" spans="1:11" ht="15" customHeight="1">
      <c r="A191" s="1" t="s">
        <v>89</v>
      </c>
      <c r="B191" s="11">
        <v>735</v>
      </c>
      <c r="C191" s="29">
        <v>134218.74</v>
      </c>
      <c r="D191" s="21">
        <v>100000</v>
      </c>
      <c r="E191" s="21">
        <v>133000</v>
      </c>
      <c r="F191" s="45">
        <v>76000</v>
      </c>
      <c r="G191" s="27">
        <v>46000</v>
      </c>
      <c r="H191" s="27"/>
      <c r="I191" s="27"/>
      <c r="J191" s="27"/>
      <c r="K191" s="27"/>
    </row>
    <row r="192" spans="1:11" ht="15" customHeight="1">
      <c r="A192" s="1" t="s">
        <v>125</v>
      </c>
      <c r="B192" s="11"/>
      <c r="C192" s="29">
        <v>168022</v>
      </c>
      <c r="D192" s="21">
        <v>150000</v>
      </c>
      <c r="E192" s="21">
        <v>100000</v>
      </c>
      <c r="F192" s="45">
        <v>51000</v>
      </c>
      <c r="G192" s="42">
        <v>5000</v>
      </c>
      <c r="H192" s="27"/>
      <c r="I192" s="27"/>
      <c r="J192" s="27"/>
      <c r="K192" s="27"/>
    </row>
    <row r="193" spans="1:11" ht="15" customHeight="1">
      <c r="A193" s="1" t="s">
        <v>56</v>
      </c>
      <c r="B193" s="11">
        <v>735</v>
      </c>
      <c r="C193" s="33">
        <v>2622080.85</v>
      </c>
      <c r="D193" s="22">
        <v>630000</v>
      </c>
      <c r="E193" s="22">
        <f>650000+68000+60000+65000</f>
        <v>843000</v>
      </c>
      <c r="F193" s="22">
        <v>935000</v>
      </c>
      <c r="G193" s="77"/>
      <c r="H193" s="27"/>
      <c r="I193" s="27"/>
      <c r="J193" s="27"/>
      <c r="K193" s="27"/>
    </row>
    <row r="194" spans="1:11" ht="14.2" customHeight="1">
      <c r="A194" s="2" t="s">
        <v>57</v>
      </c>
      <c r="B194" s="5"/>
      <c r="C194" s="31">
        <f>SUM(C189:C193)</f>
        <v>4208882.37</v>
      </c>
      <c r="D194" s="19">
        <f>SUM(D189:D193)</f>
        <v>1630000</v>
      </c>
      <c r="E194" s="19">
        <f>SUM(E189:E193)</f>
        <v>1556000</v>
      </c>
      <c r="F194" s="19">
        <f>SUM(F189:F193)</f>
        <v>1152000</v>
      </c>
      <c r="G194" s="68">
        <v>51000</v>
      </c>
      <c r="H194" s="27"/>
      <c r="I194" s="27"/>
      <c r="J194" s="27"/>
      <c r="K194" s="27"/>
    </row>
    <row r="195" spans="1:11" ht="14.2" customHeight="1">
      <c r="A195" s="2"/>
      <c r="B195" s="5"/>
      <c r="F195" s="21"/>
      <c r="G195" s="27"/>
    </row>
    <row r="196" spans="1:11" ht="14.2" customHeight="1">
      <c r="A196" s="2" t="s">
        <v>58</v>
      </c>
      <c r="B196" s="5"/>
      <c r="F196" s="21"/>
      <c r="G196" s="27"/>
    </row>
    <row r="197" spans="1:11" ht="14.2" customHeight="1">
      <c r="A197" t="s">
        <v>38</v>
      </c>
      <c r="B197" s="12">
        <v>810</v>
      </c>
      <c r="C197" s="32">
        <v>28593.85</v>
      </c>
      <c r="D197" s="21">
        <v>40000</v>
      </c>
      <c r="E197" s="21">
        <v>40000</v>
      </c>
      <c r="F197" s="21">
        <v>65000</v>
      </c>
      <c r="G197" s="26">
        <v>25000</v>
      </c>
    </row>
    <row r="198" spans="1:11" ht="14.2" customHeight="1">
      <c r="A198" s="1" t="s">
        <v>92</v>
      </c>
      <c r="B198" s="11">
        <v>839</v>
      </c>
      <c r="C198" s="29">
        <v>0</v>
      </c>
      <c r="D198" s="21">
        <v>1000</v>
      </c>
      <c r="E198" s="21">
        <v>1000</v>
      </c>
      <c r="F198" s="21">
        <v>1000</v>
      </c>
      <c r="G198" s="27"/>
    </row>
    <row r="199" spans="1:11" ht="14.2" customHeight="1">
      <c r="A199" s="1" t="s">
        <v>138</v>
      </c>
      <c r="B199" s="11">
        <v>890</v>
      </c>
      <c r="C199" s="48">
        <v>3545.75</v>
      </c>
      <c r="D199" s="22">
        <v>617145</v>
      </c>
      <c r="E199" s="22">
        <v>659132</v>
      </c>
      <c r="F199" s="46">
        <v>632618</v>
      </c>
      <c r="G199" s="75">
        <v>-649066</v>
      </c>
    </row>
    <row r="200" spans="1:11" ht="14.2" customHeight="1">
      <c r="A200" s="2" t="s">
        <v>59</v>
      </c>
      <c r="B200" s="5"/>
      <c r="C200" s="31">
        <f t="shared" ref="C200" si="1">SUM(C197:C199)</f>
        <v>32139.599999999999</v>
      </c>
      <c r="D200" s="19">
        <f>SUM(D197:D199)</f>
        <v>658145</v>
      </c>
      <c r="E200" s="19">
        <f>SUM(E197:E199)</f>
        <v>700132</v>
      </c>
      <c r="F200" s="19">
        <f>SUM(F197:F199)</f>
        <v>698618</v>
      </c>
      <c r="G200" s="68">
        <f>SUM(G197:G199)</f>
        <v>-624066</v>
      </c>
    </row>
    <row r="201" spans="1:11" ht="14.2" customHeight="1">
      <c r="A201" s="2"/>
      <c r="B201" s="5"/>
      <c r="C201" s="33"/>
      <c r="D201" s="20"/>
      <c r="E201" s="20"/>
      <c r="F201" s="22"/>
      <c r="G201" s="27"/>
    </row>
    <row r="202" spans="1:11" ht="14.2" customHeight="1">
      <c r="A202" s="2" t="s">
        <v>61</v>
      </c>
      <c r="B202" s="5"/>
      <c r="C202" s="49">
        <f>+C65+C76+C88+C116+C139+C186+C194+C200</f>
        <v>40767069.18</v>
      </c>
      <c r="D202" s="25">
        <f>+D65+D76+D88+D116+D139+D186+D194+D200</f>
        <v>46308215.149999999</v>
      </c>
      <c r="E202" s="25">
        <f>+E65+E76+E88+E116+E139+E186+E194+E200</f>
        <v>44519424.619999997</v>
      </c>
      <c r="F202" s="25">
        <f>+F65+F76+F88+F116+F139+F186+F194+F200</f>
        <v>48388031.706</v>
      </c>
      <c r="G202" s="78">
        <f>F202-48213032</f>
        <v>174999.70600000024</v>
      </c>
    </row>
    <row r="203" spans="1:11" ht="14.2" customHeight="1">
      <c r="C203" s="56"/>
      <c r="F203" s="21"/>
      <c r="G203" s="27"/>
    </row>
    <row r="204" spans="1:11" ht="14.2" customHeight="1">
      <c r="A204" s="14" t="s">
        <v>134</v>
      </c>
      <c r="B204" s="5"/>
      <c r="C204" s="55">
        <f>C32-C202</f>
        <v>1904240.0700000003</v>
      </c>
      <c r="D204" s="63">
        <f>D32-D202</f>
        <v>-7.0000000298023224E-2</v>
      </c>
      <c r="E204" s="64">
        <f>E32-E202+1</f>
        <v>1.000000536441803E-2</v>
      </c>
      <c r="F204" s="63">
        <f>F32-F202</f>
        <v>0.29399999976158142</v>
      </c>
    </row>
    <row r="205" spans="1:11" ht="14.2" customHeight="1">
      <c r="A205" s="14"/>
      <c r="B205" s="40"/>
      <c r="F205" s="21"/>
    </row>
    <row r="206" spans="1:11" ht="14.2" customHeight="1">
      <c r="B206" s="40"/>
      <c r="F206" s="21"/>
    </row>
    <row r="207" spans="1:11" ht="14.2" customHeight="1">
      <c r="B207" s="40"/>
      <c r="F207" s="21"/>
    </row>
    <row r="208" spans="1:11" ht="14.2" customHeight="1">
      <c r="B208" s="40"/>
    </row>
    <row r="209" spans="2:2" ht="14.2" customHeight="1">
      <c r="B209" s="40"/>
    </row>
    <row r="210" spans="2:2" ht="14.2" customHeight="1">
      <c r="B210" s="40"/>
    </row>
    <row r="211" spans="2:2" ht="14.2" customHeight="1">
      <c r="B211" s="40"/>
    </row>
    <row r="212" spans="2:2" ht="14.2" customHeight="1">
      <c r="B212" s="40"/>
    </row>
    <row r="213" spans="2:2" ht="14.2" customHeight="1">
      <c r="B213" s="40"/>
    </row>
    <row r="214" spans="2:2" ht="14.2" customHeight="1">
      <c r="B214" s="40"/>
    </row>
    <row r="215" spans="2:2" ht="14.2" customHeight="1">
      <c r="B215" s="40"/>
    </row>
    <row r="216" spans="2:2" ht="14.2" customHeight="1">
      <c r="B216" s="40"/>
    </row>
    <row r="217" spans="2:2" ht="14.2" customHeight="1">
      <c r="B217" s="40"/>
    </row>
    <row r="218" spans="2:2" ht="14.2" customHeight="1">
      <c r="B218" s="40"/>
    </row>
    <row r="219" spans="2:2" ht="14.2" customHeight="1">
      <c r="B219" s="40"/>
    </row>
    <row r="220" spans="2:2" ht="14.2" customHeight="1">
      <c r="B220" s="40"/>
    </row>
    <row r="221" spans="2:2" ht="14.2" customHeight="1">
      <c r="B221" s="40"/>
    </row>
    <row r="222" spans="2:2" ht="14.2" customHeight="1">
      <c r="B222" s="40"/>
    </row>
    <row r="223" spans="2:2" ht="14.2" customHeight="1">
      <c r="B223" s="40"/>
    </row>
    <row r="224" spans="2:2" ht="14.2" customHeight="1">
      <c r="B224" s="40"/>
    </row>
    <row r="225" spans="2:2" ht="14.2" customHeight="1">
      <c r="B225" s="40"/>
    </row>
    <row r="226" spans="2:2" ht="14.2" customHeight="1">
      <c r="B226" s="40"/>
    </row>
    <row r="227" spans="2:2" ht="14.2" customHeight="1">
      <c r="B227" s="40"/>
    </row>
    <row r="228" spans="2:2" ht="14.2" customHeight="1">
      <c r="B228" s="40"/>
    </row>
    <row r="229" spans="2:2" ht="14.2" customHeight="1">
      <c r="B229" s="40"/>
    </row>
    <row r="230" spans="2:2" ht="14.2" customHeight="1">
      <c r="B230" s="40"/>
    </row>
    <row r="231" spans="2:2" ht="14.2" customHeight="1">
      <c r="B231" s="40"/>
    </row>
    <row r="232" spans="2:2" ht="14.2" customHeight="1">
      <c r="B232" s="40"/>
    </row>
    <row r="233" spans="2:2" ht="14.2" customHeight="1">
      <c r="B233" s="40"/>
    </row>
    <row r="234" spans="2:2" ht="14.2" customHeight="1">
      <c r="B234" s="40"/>
    </row>
    <row r="235" spans="2:2" ht="14.2" customHeight="1">
      <c r="B235" s="40"/>
    </row>
    <row r="236" spans="2:2" ht="14.2" customHeight="1">
      <c r="B236" s="40"/>
    </row>
    <row r="237" spans="2:2" ht="14.2" customHeight="1">
      <c r="B237" s="40"/>
    </row>
    <row r="238" spans="2:2" ht="14.2" customHeight="1">
      <c r="B238" s="40"/>
    </row>
    <row r="239" spans="2:2" ht="14.2" customHeight="1">
      <c r="B239" s="40"/>
    </row>
    <row r="240" spans="2:2" ht="14.2" customHeight="1">
      <c r="B240" s="40"/>
    </row>
    <row r="241" spans="2:2" ht="14.2" customHeight="1">
      <c r="B241" s="40"/>
    </row>
    <row r="242" spans="2:2" ht="14.2" customHeight="1">
      <c r="B242" s="40"/>
    </row>
    <row r="243" spans="2:2" ht="14.2" customHeight="1">
      <c r="B243" s="40"/>
    </row>
    <row r="244" spans="2:2" ht="14.2" customHeight="1">
      <c r="B244" s="40"/>
    </row>
    <row r="245" spans="2:2" ht="14.2" customHeight="1">
      <c r="B245" s="40"/>
    </row>
    <row r="246" spans="2:2" ht="14.2" customHeight="1">
      <c r="B246" s="40"/>
    </row>
    <row r="247" spans="2:2" ht="14.2" customHeight="1">
      <c r="B247" s="40"/>
    </row>
    <row r="248" spans="2:2" ht="14.2" customHeight="1">
      <c r="B248" s="40"/>
    </row>
    <row r="249" spans="2:2" ht="14.2" customHeight="1">
      <c r="B249" s="40"/>
    </row>
    <row r="250" spans="2:2" ht="14.2" customHeight="1">
      <c r="B250" s="40"/>
    </row>
    <row r="251" spans="2:2" ht="14.2" customHeight="1">
      <c r="B251" s="40"/>
    </row>
    <row r="252" spans="2:2" ht="14.2" customHeight="1">
      <c r="B252" s="40"/>
    </row>
    <row r="253" spans="2:2" ht="14.2" customHeight="1">
      <c r="B253" s="40"/>
    </row>
    <row r="254" spans="2:2" ht="14.2" customHeight="1">
      <c r="B254" s="40"/>
    </row>
    <row r="255" spans="2:2" ht="14.2" customHeight="1">
      <c r="B255" s="40"/>
    </row>
    <row r="256" spans="2:2" ht="14.2" customHeight="1">
      <c r="B256" s="40"/>
    </row>
    <row r="257" spans="2:2" ht="14.2" customHeight="1">
      <c r="B257" s="40"/>
    </row>
    <row r="258" spans="2:2" ht="14.2" customHeight="1">
      <c r="B258" s="40"/>
    </row>
    <row r="259" spans="2:2" ht="14.2" customHeight="1">
      <c r="B259" s="40"/>
    </row>
    <row r="260" spans="2:2" ht="14.2" customHeight="1">
      <c r="B260" s="40"/>
    </row>
    <row r="261" spans="2:2" ht="14.2" customHeight="1">
      <c r="B261" s="40"/>
    </row>
    <row r="262" spans="2:2" ht="14.2" customHeight="1">
      <c r="B262" s="40"/>
    </row>
    <row r="263" spans="2:2" ht="14.2" customHeight="1">
      <c r="B263" s="40"/>
    </row>
    <row r="264" spans="2:2" ht="14.2" customHeight="1">
      <c r="B264" s="40"/>
    </row>
    <row r="265" spans="2:2" ht="14.2" customHeight="1">
      <c r="B265" s="40"/>
    </row>
    <row r="266" spans="2:2" ht="14.2" customHeight="1">
      <c r="B266" s="40"/>
    </row>
    <row r="267" spans="2:2" ht="14.2" customHeight="1">
      <c r="B267" s="40"/>
    </row>
    <row r="268" spans="2:2" ht="14.2" customHeight="1">
      <c r="B268" s="40"/>
    </row>
    <row r="269" spans="2:2" ht="14.2" customHeight="1">
      <c r="B269" s="40"/>
    </row>
    <row r="270" spans="2:2" ht="14.2" customHeight="1">
      <c r="B270" s="40"/>
    </row>
    <row r="271" spans="2:2" ht="14.2" customHeight="1">
      <c r="B271" s="40"/>
    </row>
    <row r="272" spans="2:2" ht="14.2" customHeight="1">
      <c r="B272" s="40"/>
    </row>
    <row r="273" spans="2:2" ht="14.2" customHeight="1">
      <c r="B273" s="40"/>
    </row>
    <row r="274" spans="2:2" ht="14.2" customHeight="1">
      <c r="B274" s="40"/>
    </row>
    <row r="275" spans="2:2" ht="14.2" customHeight="1">
      <c r="B275" s="40"/>
    </row>
    <row r="276" spans="2:2" ht="14.2" customHeight="1">
      <c r="B276" s="40"/>
    </row>
    <row r="277" spans="2:2" ht="14.2" customHeight="1">
      <c r="B277" s="40"/>
    </row>
    <row r="278" spans="2:2" ht="14.2" customHeight="1">
      <c r="B278" s="40"/>
    </row>
    <row r="279" spans="2:2" ht="14.2" customHeight="1">
      <c r="B279" s="40"/>
    </row>
    <row r="280" spans="2:2" ht="14.2" customHeight="1">
      <c r="B280" s="40"/>
    </row>
    <row r="281" spans="2:2" ht="14.2" customHeight="1">
      <c r="B281" s="40"/>
    </row>
    <row r="282" spans="2:2" ht="14.2" customHeight="1">
      <c r="B282" s="40"/>
    </row>
    <row r="283" spans="2:2" ht="14.2" customHeight="1">
      <c r="B283" s="40"/>
    </row>
    <row r="284" spans="2:2" ht="14.2" customHeight="1">
      <c r="B284" s="40"/>
    </row>
    <row r="285" spans="2:2" ht="14.2" customHeight="1">
      <c r="B285" s="40"/>
    </row>
    <row r="286" spans="2:2" ht="14.2" customHeight="1">
      <c r="B286" s="40"/>
    </row>
    <row r="287" spans="2:2" ht="14.2" customHeight="1">
      <c r="B287" s="40"/>
    </row>
    <row r="288" spans="2:2" ht="14.2" customHeight="1">
      <c r="B288" s="40"/>
    </row>
    <row r="289" spans="2:2" ht="14.2" customHeight="1">
      <c r="B289" s="40"/>
    </row>
    <row r="290" spans="2:2" ht="14.2" customHeight="1">
      <c r="B290" s="40"/>
    </row>
    <row r="291" spans="2:2" ht="14.2" customHeight="1">
      <c r="B291" s="40"/>
    </row>
    <row r="292" spans="2:2" ht="14.2" customHeight="1">
      <c r="B292" s="40"/>
    </row>
    <row r="293" spans="2:2" ht="14.2" customHeight="1">
      <c r="B293" s="40"/>
    </row>
    <row r="294" spans="2:2" ht="14.2" customHeight="1">
      <c r="B294" s="40"/>
    </row>
    <row r="295" spans="2:2" ht="14.2" customHeight="1">
      <c r="B295" s="40"/>
    </row>
    <row r="296" spans="2:2" ht="14.2" customHeight="1">
      <c r="B296" s="40"/>
    </row>
    <row r="297" spans="2:2" ht="14.2" customHeight="1">
      <c r="B297" s="40"/>
    </row>
    <row r="298" spans="2:2" ht="14.2" customHeight="1">
      <c r="B298" s="40"/>
    </row>
    <row r="299" spans="2:2" ht="14.2" customHeight="1">
      <c r="B299" s="40"/>
    </row>
    <row r="300" spans="2:2" ht="14.2" customHeight="1">
      <c r="B300" s="40"/>
    </row>
    <row r="301" spans="2:2" ht="14.2" customHeight="1">
      <c r="B301" s="40"/>
    </row>
    <row r="302" spans="2:2" ht="14.2" customHeight="1">
      <c r="B302" s="40"/>
    </row>
    <row r="303" spans="2:2" ht="14.2" customHeight="1">
      <c r="B303" s="40"/>
    </row>
    <row r="304" spans="2:2" ht="14.2" customHeight="1">
      <c r="B304" s="40"/>
    </row>
    <row r="305" spans="2:2" ht="14.2" customHeight="1">
      <c r="B305" s="40"/>
    </row>
    <row r="306" spans="2:2" ht="14.2" customHeight="1">
      <c r="B306" s="40"/>
    </row>
    <row r="307" spans="2:2" ht="14.2" customHeight="1">
      <c r="B307" s="40"/>
    </row>
    <row r="308" spans="2:2" ht="14.2" customHeight="1">
      <c r="B308" s="40"/>
    </row>
    <row r="309" spans="2:2" ht="14.2" customHeight="1">
      <c r="B309" s="40"/>
    </row>
    <row r="310" spans="2:2" ht="14.2" customHeight="1">
      <c r="B310" s="40"/>
    </row>
    <row r="311" spans="2:2" ht="14.2" customHeight="1">
      <c r="B311" s="40"/>
    </row>
    <row r="312" spans="2:2" ht="14.2" customHeight="1">
      <c r="B312" s="40"/>
    </row>
    <row r="313" spans="2:2" ht="14.2" customHeight="1">
      <c r="B313" s="40"/>
    </row>
    <row r="314" spans="2:2" ht="14.2" customHeight="1">
      <c r="B314" s="40"/>
    </row>
    <row r="315" spans="2:2" ht="14.2" customHeight="1">
      <c r="B315" s="40"/>
    </row>
    <row r="316" spans="2:2" ht="14.2" customHeight="1">
      <c r="B316" s="40"/>
    </row>
    <row r="317" spans="2:2" ht="14.2" customHeight="1">
      <c r="B317" s="40"/>
    </row>
    <row r="318" spans="2:2" ht="14.2" customHeight="1">
      <c r="B318" s="40"/>
    </row>
    <row r="319" spans="2:2" ht="14.2" customHeight="1">
      <c r="B319" s="40"/>
    </row>
    <row r="320" spans="2:2" ht="14.2" customHeight="1">
      <c r="B320" s="40"/>
    </row>
    <row r="321" spans="2:2" ht="14.2" customHeight="1">
      <c r="B321" s="40"/>
    </row>
    <row r="322" spans="2:2" ht="14.2" customHeight="1">
      <c r="B322" s="40"/>
    </row>
    <row r="323" spans="2:2" ht="14.2" customHeight="1">
      <c r="B323" s="40"/>
    </row>
    <row r="324" spans="2:2" ht="14.2" customHeight="1">
      <c r="B324" s="40"/>
    </row>
    <row r="325" spans="2:2" ht="14.2" customHeight="1">
      <c r="B325" s="40"/>
    </row>
    <row r="326" spans="2:2" ht="14.2" customHeight="1">
      <c r="B326" s="40"/>
    </row>
    <row r="327" spans="2:2" ht="14.2" customHeight="1">
      <c r="B327" s="40"/>
    </row>
    <row r="328" spans="2:2" ht="14.2" customHeight="1">
      <c r="B328" s="40"/>
    </row>
    <row r="329" spans="2:2" ht="14.2" customHeight="1">
      <c r="B329" s="40"/>
    </row>
    <row r="330" spans="2:2" ht="14.2" customHeight="1">
      <c r="B330" s="40"/>
    </row>
    <row r="331" spans="2:2" ht="14.2" customHeight="1">
      <c r="B331" s="40"/>
    </row>
    <row r="332" spans="2:2" ht="14.2" customHeight="1">
      <c r="B332" s="40"/>
    </row>
    <row r="333" spans="2:2" ht="14.2" customHeight="1">
      <c r="B333" s="40"/>
    </row>
    <row r="334" spans="2:2" ht="14.2" customHeight="1"/>
    <row r="335" spans="2:2" ht="14.2" customHeight="1"/>
    <row r="336" spans="2:2" ht="14.2" customHeight="1"/>
    <row r="337" ht="14.2" customHeight="1"/>
    <row r="338" ht="14.2" customHeight="1"/>
    <row r="339" ht="14.2" customHeight="1"/>
    <row r="340" ht="14.2" customHeight="1"/>
    <row r="341" ht="14.2" customHeight="1"/>
    <row r="342" ht="14.2" customHeight="1"/>
    <row r="343" ht="14.2" customHeight="1"/>
    <row r="344" ht="14.2" customHeight="1"/>
  </sheetData>
  <printOptions horizontalCentered="1"/>
  <pageMargins left="0.7" right="0.7" top="0.75" bottom="0.75" header="0.3" footer="0.3"/>
  <pageSetup scale="66" fitToHeight="4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B1081-7AA1-45A5-AEC1-11CEB8ED3515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FY21-22 Budget BOD final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Roseanne Johnson</dc:creator>
  <cp:lastModifiedBy>Deb Morton</cp:lastModifiedBy>
  <cp:lastPrinted>2021-05-21T18:28:48Z</cp:lastPrinted>
  <dcterms:created xsi:type="dcterms:W3CDTF">2016-09-22T22:44:11Z</dcterms:created>
  <dcterms:modified xsi:type="dcterms:W3CDTF">2021-05-21T18:30:43Z</dcterms:modified>
</cp:coreProperties>
</file>